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CEBOOK\RND 1020-09 RC IVA\"/>
    </mc:Choice>
  </mc:AlternateContent>
  <xr:revisionPtr revIDLastSave="0" documentId="13_ncr:1_{B2E529E3-EF59-4A95-BB02-1AA573323429}" xr6:coauthVersionLast="45" xr6:coauthVersionMax="45" xr10:uidLastSave="{00000000-0000-0000-0000-000000000000}"/>
  <bookViews>
    <workbookView xWindow="-120" yWindow="-120" windowWidth="20730" windowHeight="11160" tabRatio="690" activeTab="1" xr2:uid="{322F5AF1-C671-40AF-AA9B-7EE13FE52ABF}"/>
  </bookViews>
  <sheets>
    <sheet name="1" sheetId="5" r:id="rId1"/>
    <sheet name="Normativa" sheetId="1" r:id="rId2"/>
    <sheet name="TIME" sheetId="3" r:id="rId3"/>
    <sheet name="Facilito-OV" sheetId="9" r:id="rId4"/>
    <sheet name="AC" sheetId="4" r:id="rId5"/>
    <sheet name="Plla rc iva" sheetId="2" r:id="rId6"/>
    <sheet name="Plla SYS" sheetId="6" r:id="rId7"/>
    <sheet name="F-608v3" sheetId="7" r:id="rId8"/>
    <sheet name="RES" sheetId="10" r:id="rId9"/>
    <sheet name="Recomendación" sheetId="8" r:id="rId10"/>
    <sheet name="Multas" sheetId="12" r:id="rId11"/>
  </sheets>
  <externalReferences>
    <externalReference r:id="rId12"/>
    <externalReference r:id="rId13"/>
  </externalReferences>
  <definedNames>
    <definedName name="_xlnm._FilterDatabase" localSheetId="5" hidden="1">'Plla rc iva'!$B$8:$AB$131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1" i="2" l="1"/>
  <c r="F56" i="3"/>
  <c r="D56" i="3"/>
  <c r="W108" i="2" l="1"/>
  <c r="W109" i="2"/>
  <c r="W110" i="2"/>
  <c r="W111" i="2"/>
  <c r="W112" i="2"/>
  <c r="W113" i="2"/>
  <c r="W114" i="2"/>
  <c r="W115" i="2"/>
  <c r="W107" i="2"/>
  <c r="W106" i="2"/>
  <c r="O114" i="2"/>
  <c r="O115" i="2"/>
  <c r="O107" i="2"/>
  <c r="P107" i="2" s="1"/>
  <c r="Q107" i="2" s="1"/>
  <c r="R107" i="2" s="1"/>
  <c r="O108" i="2"/>
  <c r="P108" i="2" s="1"/>
  <c r="Q108" i="2" s="1"/>
  <c r="R108" i="2" s="1"/>
  <c r="O109" i="2"/>
  <c r="P109" i="2" s="1"/>
  <c r="Q109" i="2" s="1"/>
  <c r="R109" i="2" s="1"/>
  <c r="O110" i="2"/>
  <c r="P110" i="2" s="1"/>
  <c r="Q110" i="2" s="1"/>
  <c r="R110" i="2" s="1"/>
  <c r="O111" i="2"/>
  <c r="P111" i="2" s="1"/>
  <c r="Q111" i="2" s="1"/>
  <c r="R111" i="2" s="1"/>
  <c r="O112" i="2"/>
  <c r="O113" i="2"/>
  <c r="O106" i="2"/>
  <c r="P106" i="2" s="1"/>
  <c r="N107" i="2"/>
  <c r="N108" i="2"/>
  <c r="N109" i="2"/>
  <c r="N110" i="2"/>
  <c r="N111" i="2"/>
  <c r="N112" i="2"/>
  <c r="N113" i="2"/>
  <c r="N114" i="2"/>
  <c r="N115" i="2"/>
  <c r="N106" i="2"/>
  <c r="F60" i="10"/>
  <c r="E58" i="10"/>
  <c r="F54" i="10"/>
  <c r="F53" i="10"/>
  <c r="F52" i="10"/>
  <c r="F46" i="10"/>
  <c r="Z101" i="2"/>
  <c r="S117" i="2"/>
  <c r="R117" i="2"/>
  <c r="Q117" i="2"/>
  <c r="P117" i="2"/>
  <c r="O117" i="2"/>
  <c r="N117" i="2"/>
  <c r="AF116" i="2"/>
  <c r="AE116" i="2"/>
  <c r="C107" i="2"/>
  <c r="C108" i="2" s="1"/>
  <c r="C109" i="2" s="1"/>
  <c r="C110" i="2" s="1"/>
  <c r="C111" i="2" s="1"/>
  <c r="C112" i="2" s="1"/>
  <c r="C113" i="2" s="1"/>
  <c r="B107" i="2"/>
  <c r="B108" i="2" s="1"/>
  <c r="B109" i="2" s="1"/>
  <c r="B110" i="2" s="1"/>
  <c r="B111" i="2" s="1"/>
  <c r="B112" i="2" s="1"/>
  <c r="B113" i="2" s="1"/>
  <c r="AB99" i="2"/>
  <c r="AB98" i="2"/>
  <c r="Z98" i="2"/>
  <c r="N92" i="2"/>
  <c r="O92" i="2"/>
  <c r="P92" i="2"/>
  <c r="Q92" i="2"/>
  <c r="R92" i="2"/>
  <c r="S92" i="2"/>
  <c r="X15" i="2"/>
  <c r="P113" i="2" l="1"/>
  <c r="Q113" i="2" s="1"/>
  <c r="R113" i="2" s="1"/>
  <c r="W116" i="2"/>
  <c r="W119" i="2" s="1"/>
  <c r="P114" i="2"/>
  <c r="Q114" i="2" s="1"/>
  <c r="P115" i="2"/>
  <c r="Q115" i="2" s="1"/>
  <c r="P112" i="2"/>
  <c r="Q112" i="2" s="1"/>
  <c r="N116" i="2"/>
  <c r="N119" i="2" s="1"/>
  <c r="S110" i="2"/>
  <c r="Q106" i="2"/>
  <c r="R106" i="2" s="1"/>
  <c r="S111" i="2"/>
  <c r="S113" i="2"/>
  <c r="S108" i="2"/>
  <c r="S109" i="2"/>
  <c r="S107" i="2"/>
  <c r="O116" i="2"/>
  <c r="O119" i="2" s="1"/>
  <c r="G292" i="9"/>
  <c r="G289" i="9"/>
  <c r="G288" i="9"/>
  <c r="E289" i="9"/>
  <c r="D288" i="9"/>
  <c r="G304" i="9"/>
  <c r="G293" i="9"/>
  <c r="AF91" i="2"/>
  <c r="AF67" i="2"/>
  <c r="G56" i="7" s="1"/>
  <c r="AF42" i="2"/>
  <c r="AF20" i="2"/>
  <c r="R112" i="2" l="1"/>
  <c r="S112" i="2" s="1"/>
  <c r="R115" i="2"/>
  <c r="S115" i="2" s="1"/>
  <c r="R114" i="2"/>
  <c r="R116" i="2" s="1"/>
  <c r="R119" i="2" s="1"/>
  <c r="P116" i="2"/>
  <c r="P119" i="2" s="1"/>
  <c r="Q116" i="2"/>
  <c r="Q119" i="2" s="1"/>
  <c r="F60" i="3"/>
  <c r="G60" i="3" s="1"/>
  <c r="G56" i="3"/>
  <c r="G57" i="3"/>
  <c r="G59" i="3"/>
  <c r="G55" i="3"/>
  <c r="E57" i="3"/>
  <c r="E59" i="3"/>
  <c r="E55" i="3"/>
  <c r="E56" i="3"/>
  <c r="G47" i="3"/>
  <c r="G50" i="3"/>
  <c r="G49" i="3"/>
  <c r="G48" i="3"/>
  <c r="D60" i="3"/>
  <c r="E60" i="3" s="1"/>
  <c r="S114" i="2" l="1"/>
  <c r="S106" i="2"/>
  <c r="I5" i="7"/>
  <c r="W82" i="2"/>
  <c r="W83" i="2"/>
  <c r="W84" i="2"/>
  <c r="W85" i="2"/>
  <c r="W86" i="2"/>
  <c r="W87" i="2"/>
  <c r="W88" i="2"/>
  <c r="W89" i="2"/>
  <c r="W90" i="2"/>
  <c r="W81" i="2"/>
  <c r="O89" i="2"/>
  <c r="R89" i="2"/>
  <c r="O90" i="2"/>
  <c r="R90" i="2"/>
  <c r="N89" i="2"/>
  <c r="N90" i="2"/>
  <c r="N31" i="7"/>
  <c r="N30" i="7"/>
  <c r="F4" i="7"/>
  <c r="E4" i="7"/>
  <c r="E12" i="7" s="1"/>
  <c r="AE91" i="2"/>
  <c r="C82" i="2"/>
  <c r="C83" i="2" s="1"/>
  <c r="C84" i="2" s="1"/>
  <c r="C85" i="2" s="1"/>
  <c r="C86" i="2" s="1"/>
  <c r="C87" i="2" s="1"/>
  <c r="C88" i="2" s="1"/>
  <c r="B82" i="2"/>
  <c r="B83" i="2" s="1"/>
  <c r="B84" i="2" s="1"/>
  <c r="B85" i="2" s="1"/>
  <c r="B86" i="2" s="1"/>
  <c r="B87" i="2" s="1"/>
  <c r="B88" i="2" s="1"/>
  <c r="AB74" i="2"/>
  <c r="AB73" i="2"/>
  <c r="AE42" i="2"/>
  <c r="T34" i="2"/>
  <c r="T35" i="2"/>
  <c r="T36" i="2"/>
  <c r="T37" i="2"/>
  <c r="T38" i="2"/>
  <c r="T39" i="2"/>
  <c r="T40" i="2"/>
  <c r="T41" i="2"/>
  <c r="T33" i="2"/>
  <c r="T32" i="2"/>
  <c r="S116" i="2" l="1"/>
  <c r="S119" i="2" s="1"/>
  <c r="M31" i="7"/>
  <c r="F56" i="7" s="1"/>
  <c r="F12" i="7"/>
  <c r="F6" i="7"/>
  <c r="F17" i="7"/>
  <c r="F16" i="7"/>
  <c r="M30" i="7"/>
  <c r="E56" i="7" s="1"/>
  <c r="E17" i="7"/>
  <c r="E16" i="7"/>
  <c r="E6" i="7"/>
  <c r="W91" i="2"/>
  <c r="W94" i="2" s="1"/>
  <c r="I29" i="7" s="1"/>
  <c r="T12" i="2"/>
  <c r="T108" i="2" s="1"/>
  <c r="T13" i="2"/>
  <c r="T109" i="2" s="1"/>
  <c r="T14" i="2"/>
  <c r="T110" i="2" s="1"/>
  <c r="T15" i="2"/>
  <c r="T111" i="2" s="1"/>
  <c r="T16" i="2"/>
  <c r="T112" i="2" s="1"/>
  <c r="T17" i="2"/>
  <c r="T113" i="2" s="1"/>
  <c r="T18" i="2"/>
  <c r="T114" i="2" s="1"/>
  <c r="U114" i="2" s="1"/>
  <c r="T19" i="2"/>
  <c r="T115" i="2" s="1"/>
  <c r="T11" i="2"/>
  <c r="T107" i="2" s="1"/>
  <c r="T10" i="2"/>
  <c r="T106" i="2" s="1"/>
  <c r="U106" i="2" s="1"/>
  <c r="V114" i="2" l="1"/>
  <c r="I56" i="7"/>
  <c r="U113" i="2"/>
  <c r="V113" i="2"/>
  <c r="V115" i="2"/>
  <c r="U115" i="2"/>
  <c r="U111" i="2"/>
  <c r="V111" i="2"/>
  <c r="V106" i="2"/>
  <c r="V110" i="2"/>
  <c r="U110" i="2"/>
  <c r="V112" i="2"/>
  <c r="U112" i="2"/>
  <c r="T116" i="2"/>
  <c r="T119" i="2" s="1"/>
  <c r="V109" i="2"/>
  <c r="U109" i="2"/>
  <c r="U107" i="2"/>
  <c r="V107" i="2"/>
  <c r="V108" i="2"/>
  <c r="U108" i="2"/>
  <c r="E5" i="7"/>
  <c r="G5" i="7"/>
  <c r="F5" i="7"/>
  <c r="T58" i="2"/>
  <c r="T82" i="2" s="1"/>
  <c r="T59" i="2"/>
  <c r="T83" i="2" s="1"/>
  <c r="T60" i="2"/>
  <c r="T84" i="2" s="1"/>
  <c r="T61" i="2"/>
  <c r="T85" i="2" s="1"/>
  <c r="T62" i="2"/>
  <c r="T86" i="2" s="1"/>
  <c r="T63" i="2"/>
  <c r="T87" i="2" s="1"/>
  <c r="T64" i="2"/>
  <c r="T88" i="2" s="1"/>
  <c r="T65" i="2"/>
  <c r="T89" i="2" s="1"/>
  <c r="T66" i="2"/>
  <c r="T90" i="2" s="1"/>
  <c r="T57" i="2"/>
  <c r="T81" i="2" s="1"/>
  <c r="AE67" i="2"/>
  <c r="C50" i="6"/>
  <c r="C51" i="6"/>
  <c r="C52" i="6"/>
  <c r="C53" i="6"/>
  <c r="C54" i="6"/>
  <c r="C55" i="6"/>
  <c r="C56" i="6"/>
  <c r="C49" i="6"/>
  <c r="C28" i="6"/>
  <c r="C29" i="6"/>
  <c r="C30" i="6"/>
  <c r="C31" i="6"/>
  <c r="C32" i="6"/>
  <c r="C33" i="6"/>
  <c r="C34" i="6"/>
  <c r="C35" i="6"/>
  <c r="U58" i="6"/>
  <c r="N58" i="6"/>
  <c r="AD57" i="6"/>
  <c r="AB57" i="6"/>
  <c r="AC57" i="6" s="1"/>
  <c r="AA57" i="6"/>
  <c r="AD56" i="6"/>
  <c r="AH56" i="6" s="1"/>
  <c r="AI56" i="6" s="1"/>
  <c r="AB56" i="6"/>
  <c r="AC56" i="6" s="1"/>
  <c r="AA56" i="6"/>
  <c r="M56" i="6"/>
  <c r="J56" i="6"/>
  <c r="L56" i="6" s="1"/>
  <c r="O56" i="6" s="1"/>
  <c r="AG55" i="6"/>
  <c r="AD55" i="6"/>
  <c r="AH55" i="6" s="1"/>
  <c r="AI55" i="6" s="1"/>
  <c r="AB55" i="6"/>
  <c r="AC55" i="6" s="1"/>
  <c r="AA55" i="6"/>
  <c r="M55" i="6"/>
  <c r="AG54" i="6"/>
  <c r="AD54" i="6"/>
  <c r="AH54" i="6" s="1"/>
  <c r="AI54" i="6" s="1"/>
  <c r="AB54" i="6"/>
  <c r="AC54" i="6" s="1"/>
  <c r="AA54" i="6"/>
  <c r="M54" i="6"/>
  <c r="AG53" i="6"/>
  <c r="AD53" i="6"/>
  <c r="AH53" i="6" s="1"/>
  <c r="AI53" i="6" s="1"/>
  <c r="AB53" i="6"/>
  <c r="AC53" i="6" s="1"/>
  <c r="AA53" i="6"/>
  <c r="M53" i="6"/>
  <c r="AG52" i="6"/>
  <c r="AD52" i="6"/>
  <c r="AH52" i="6" s="1"/>
  <c r="AI52" i="6" s="1"/>
  <c r="AC52" i="6"/>
  <c r="AB52" i="6"/>
  <c r="AA52" i="6"/>
  <c r="M52" i="6"/>
  <c r="AG51" i="6"/>
  <c r="AD51" i="6"/>
  <c r="AH51" i="6" s="1"/>
  <c r="AI51" i="6" s="1"/>
  <c r="AB51" i="6"/>
  <c r="AC51" i="6" s="1"/>
  <c r="AA51" i="6"/>
  <c r="M51" i="6"/>
  <c r="AG50" i="6"/>
  <c r="AD50" i="6"/>
  <c r="AH50" i="6" s="1"/>
  <c r="AI50" i="6" s="1"/>
  <c r="AC50" i="6"/>
  <c r="AB50" i="6"/>
  <c r="AA50" i="6"/>
  <c r="M50" i="6"/>
  <c r="AG49" i="6"/>
  <c r="AD49" i="6"/>
  <c r="AH49" i="6" s="1"/>
  <c r="AI49" i="6" s="1"/>
  <c r="AB49" i="6"/>
  <c r="AC49" i="6" s="1"/>
  <c r="AA49" i="6"/>
  <c r="M49" i="6"/>
  <c r="M58" i="6" s="1"/>
  <c r="AD47" i="6"/>
  <c r="U37" i="6"/>
  <c r="N37" i="6"/>
  <c r="AA36" i="6"/>
  <c r="AA35" i="6"/>
  <c r="T35" i="6"/>
  <c r="AG34" i="6"/>
  <c r="AA34" i="6"/>
  <c r="T34" i="6"/>
  <c r="AG33" i="6"/>
  <c r="AA33" i="6"/>
  <c r="T33" i="6"/>
  <c r="AG32" i="6"/>
  <c r="AA32" i="6"/>
  <c r="T32" i="6"/>
  <c r="AG31" i="6"/>
  <c r="AA31" i="6"/>
  <c r="T31" i="6"/>
  <c r="AG30" i="6"/>
  <c r="AA30" i="6"/>
  <c r="T30" i="6"/>
  <c r="AG29" i="6"/>
  <c r="AA29" i="6"/>
  <c r="T29" i="6"/>
  <c r="AG28" i="6"/>
  <c r="AA28" i="6"/>
  <c r="T28" i="6"/>
  <c r="AD26" i="6"/>
  <c r="B9" i="6"/>
  <c r="B29" i="6" s="1"/>
  <c r="B50" i="6" s="1"/>
  <c r="B10" i="6"/>
  <c r="B30" i="6" s="1"/>
  <c r="B51" i="6" s="1"/>
  <c r="B11" i="6"/>
  <c r="B31" i="6" s="1"/>
  <c r="B52" i="6" s="1"/>
  <c r="B12" i="6"/>
  <c r="B32" i="6" s="1"/>
  <c r="B53" i="6" s="1"/>
  <c r="B13" i="6"/>
  <c r="B33" i="6" s="1"/>
  <c r="B54" i="6" s="1"/>
  <c r="B14" i="6"/>
  <c r="B34" i="6" s="1"/>
  <c r="B55" i="6" s="1"/>
  <c r="B15" i="6"/>
  <c r="B35" i="6" s="1"/>
  <c r="B56" i="6" s="1"/>
  <c r="B8" i="6"/>
  <c r="B28" i="6" s="1"/>
  <c r="B49" i="6" s="1"/>
  <c r="J9" i="6"/>
  <c r="J29" i="6" s="1"/>
  <c r="J10" i="6"/>
  <c r="J30" i="6" s="1"/>
  <c r="J11" i="6"/>
  <c r="J31" i="6" s="1"/>
  <c r="J12" i="6"/>
  <c r="J32" i="6" s="1"/>
  <c r="J13" i="6"/>
  <c r="J33" i="6" s="1"/>
  <c r="J14" i="6"/>
  <c r="J34" i="6" s="1"/>
  <c r="J15" i="6"/>
  <c r="J35" i="6" s="1"/>
  <c r="J8" i="6"/>
  <c r="J28" i="6" s="1"/>
  <c r="AD6" i="6"/>
  <c r="AB13" i="6" s="1"/>
  <c r="AC13" i="6" s="1"/>
  <c r="D9" i="6"/>
  <c r="D29" i="6" s="1"/>
  <c r="D50" i="6" s="1"/>
  <c r="D10" i="6"/>
  <c r="D30" i="6" s="1"/>
  <c r="D51" i="6" s="1"/>
  <c r="D11" i="6"/>
  <c r="D31" i="6" s="1"/>
  <c r="D52" i="6" s="1"/>
  <c r="D12" i="6"/>
  <c r="D32" i="6" s="1"/>
  <c r="D53" i="6" s="1"/>
  <c r="D13" i="6"/>
  <c r="D33" i="6" s="1"/>
  <c r="D54" i="6" s="1"/>
  <c r="D14" i="6"/>
  <c r="D34" i="6" s="1"/>
  <c r="D55" i="6" s="1"/>
  <c r="D15" i="6"/>
  <c r="D35" i="6" s="1"/>
  <c r="D56" i="6" s="1"/>
  <c r="D8" i="6"/>
  <c r="D28" i="6" s="1"/>
  <c r="D49" i="6" s="1"/>
  <c r="AG8" i="6"/>
  <c r="AA8" i="6"/>
  <c r="AA9" i="6"/>
  <c r="AA10" i="6"/>
  <c r="AA11" i="6"/>
  <c r="AA12" i="6"/>
  <c r="AA13" i="6"/>
  <c r="AA14" i="6"/>
  <c r="AA15" i="6"/>
  <c r="AA16" i="6"/>
  <c r="U17" i="6"/>
  <c r="N17" i="6"/>
  <c r="T15" i="6"/>
  <c r="T14" i="6"/>
  <c r="T13" i="6"/>
  <c r="T12" i="6"/>
  <c r="T11" i="6"/>
  <c r="T10" i="6"/>
  <c r="T9" i="6"/>
  <c r="T8" i="6"/>
  <c r="Z49" i="2"/>
  <c r="Z73" i="2" s="1"/>
  <c r="N59" i="2"/>
  <c r="N60" i="2"/>
  <c r="N61" i="2"/>
  <c r="N62" i="2"/>
  <c r="N86" i="2" s="1"/>
  <c r="N63" i="2"/>
  <c r="N87" i="2" s="1"/>
  <c r="N64" i="2"/>
  <c r="N58" i="2"/>
  <c r="N82" i="2" s="1"/>
  <c r="N57" i="2"/>
  <c r="Z24" i="2"/>
  <c r="P66" i="2"/>
  <c r="Q66" i="2" s="1"/>
  <c r="S66" i="2" s="1"/>
  <c r="P65" i="2"/>
  <c r="Q65" i="2" s="1"/>
  <c r="S65" i="2" s="1"/>
  <c r="C58" i="2"/>
  <c r="C59" i="2" s="1"/>
  <c r="C60" i="2" s="1"/>
  <c r="C61" i="2" s="1"/>
  <c r="C62" i="2" s="1"/>
  <c r="C63" i="2" s="1"/>
  <c r="C64" i="2" s="1"/>
  <c r="B58" i="2"/>
  <c r="B59" i="2" s="1"/>
  <c r="B60" i="2" s="1"/>
  <c r="B61" i="2" s="1"/>
  <c r="B62" i="2" s="1"/>
  <c r="B63" i="2" s="1"/>
  <c r="B64" i="2" s="1"/>
  <c r="AB50" i="2"/>
  <c r="AB49" i="2"/>
  <c r="N42" i="2"/>
  <c r="N45" i="2" s="1"/>
  <c r="F20" i="7" s="1"/>
  <c r="P41" i="2"/>
  <c r="Q41" i="2" s="1"/>
  <c r="S41" i="2" s="1"/>
  <c r="P40" i="2"/>
  <c r="Q40" i="2" s="1"/>
  <c r="S40" i="2" s="1"/>
  <c r="V40" i="2" s="1"/>
  <c r="O39" i="2"/>
  <c r="P39" i="2" s="1"/>
  <c r="Q39" i="2" s="1"/>
  <c r="O38" i="2"/>
  <c r="P38" i="2" s="1"/>
  <c r="Q38" i="2" s="1"/>
  <c r="O37" i="2"/>
  <c r="P37" i="2" s="1"/>
  <c r="Q37" i="2" s="1"/>
  <c r="O36" i="2"/>
  <c r="P36" i="2" s="1"/>
  <c r="Q36" i="2" s="1"/>
  <c r="O35" i="2"/>
  <c r="P35" i="2" s="1"/>
  <c r="Q35" i="2" s="1"/>
  <c r="P34" i="2"/>
  <c r="Q34" i="2" s="1"/>
  <c r="R34" i="2" s="1"/>
  <c r="O33" i="2"/>
  <c r="P33" i="2" s="1"/>
  <c r="Q33" i="2" s="1"/>
  <c r="R33" i="2" s="1"/>
  <c r="C33" i="2"/>
  <c r="C34" i="2" s="1"/>
  <c r="C35" i="2" s="1"/>
  <c r="C36" i="2" s="1"/>
  <c r="C37" i="2" s="1"/>
  <c r="C38" i="2" s="1"/>
  <c r="C39" i="2" s="1"/>
  <c r="B33" i="2"/>
  <c r="B34" i="2" s="1"/>
  <c r="B35" i="2" s="1"/>
  <c r="B36" i="2" s="1"/>
  <c r="B37" i="2" s="1"/>
  <c r="B38" i="2" s="1"/>
  <c r="B39" i="2" s="1"/>
  <c r="O32" i="2"/>
  <c r="AB25" i="2"/>
  <c r="AB24" i="2"/>
  <c r="U116" i="2" l="1"/>
  <c r="U119" i="2" s="1"/>
  <c r="V116" i="2"/>
  <c r="V119" i="2" s="1"/>
  <c r="O62" i="2"/>
  <c r="P62" i="2" s="1"/>
  <c r="Q62" i="2" s="1"/>
  <c r="R62" i="2" s="1"/>
  <c r="S62" i="2" s="1"/>
  <c r="O63" i="2"/>
  <c r="P63" i="2" s="1"/>
  <c r="Q63" i="2" s="1"/>
  <c r="R63" i="2" s="1"/>
  <c r="S63" i="2" s="1"/>
  <c r="J49" i="6"/>
  <c r="L29" i="6"/>
  <c r="L35" i="6"/>
  <c r="J55" i="6"/>
  <c r="L55" i="6" s="1"/>
  <c r="O55" i="6" s="1"/>
  <c r="R55" i="6" s="1"/>
  <c r="L34" i="6"/>
  <c r="J54" i="6"/>
  <c r="L54" i="6" s="1"/>
  <c r="O54" i="6" s="1"/>
  <c r="S54" i="6" s="1"/>
  <c r="J53" i="6"/>
  <c r="L33" i="6"/>
  <c r="L32" i="6"/>
  <c r="J52" i="6"/>
  <c r="L52" i="6" s="1"/>
  <c r="O52" i="6" s="1"/>
  <c r="R52" i="6" s="1"/>
  <c r="J51" i="6"/>
  <c r="L51" i="6" s="1"/>
  <c r="O51" i="6" s="1"/>
  <c r="P51" i="6" s="1"/>
  <c r="L31" i="6"/>
  <c r="J50" i="6"/>
  <c r="L50" i="6" s="1"/>
  <c r="O50" i="6" s="1"/>
  <c r="L30" i="6"/>
  <c r="O42" i="2"/>
  <c r="O45" i="2" s="1"/>
  <c r="F21" i="7" s="1"/>
  <c r="O64" i="2"/>
  <c r="P64" i="2" s="1"/>
  <c r="Q64" i="2" s="1"/>
  <c r="R64" i="2" s="1"/>
  <c r="S64" i="2" s="1"/>
  <c r="N88" i="2"/>
  <c r="O57" i="2"/>
  <c r="P57" i="2" s="1"/>
  <c r="O61" i="2"/>
  <c r="P61" i="2" s="1"/>
  <c r="Q61" i="2" s="1"/>
  <c r="R61" i="2" s="1"/>
  <c r="S61" i="2" s="1"/>
  <c r="N85" i="2"/>
  <c r="O60" i="2"/>
  <c r="P60" i="2" s="1"/>
  <c r="Q60" i="2" s="1"/>
  <c r="R60" i="2" s="1"/>
  <c r="S60" i="2" s="1"/>
  <c r="U60" i="2" s="1"/>
  <c r="N84" i="2"/>
  <c r="O59" i="2"/>
  <c r="N83" i="2"/>
  <c r="T91" i="2"/>
  <c r="T94" i="2" s="1"/>
  <c r="I26" i="7" s="1"/>
  <c r="T37" i="6"/>
  <c r="S56" i="6"/>
  <c r="R56" i="6"/>
  <c r="Q56" i="6"/>
  <c r="P56" i="6"/>
  <c r="AD31" i="6"/>
  <c r="AH31" i="6" s="1"/>
  <c r="AI31" i="6" s="1"/>
  <c r="AB32" i="6"/>
  <c r="AC32" i="6" s="1"/>
  <c r="AB34" i="6"/>
  <c r="AC34" i="6" s="1"/>
  <c r="AB35" i="6"/>
  <c r="AC35" i="6" s="1"/>
  <c r="AD32" i="6"/>
  <c r="AH32" i="6" s="1"/>
  <c r="AI32" i="6" s="1"/>
  <c r="AB33" i="6"/>
  <c r="AC33" i="6" s="1"/>
  <c r="AD34" i="6"/>
  <c r="AH34" i="6" s="1"/>
  <c r="AI34" i="6" s="1"/>
  <c r="AD35" i="6"/>
  <c r="AH35" i="6" s="1"/>
  <c r="AI35" i="6" s="1"/>
  <c r="AD33" i="6"/>
  <c r="AH33" i="6" s="1"/>
  <c r="AI33" i="6" s="1"/>
  <c r="AB36" i="6"/>
  <c r="AC36" i="6" s="1"/>
  <c r="AB28" i="6"/>
  <c r="AC28" i="6" s="1"/>
  <c r="AD28" i="6"/>
  <c r="AH28" i="6" s="1"/>
  <c r="AI28" i="6" s="1"/>
  <c r="AB29" i="6"/>
  <c r="AC29" i="6" s="1"/>
  <c r="AD36" i="6"/>
  <c r="AD29" i="6"/>
  <c r="AH29" i="6" s="1"/>
  <c r="AI29" i="6" s="1"/>
  <c r="AB30" i="6"/>
  <c r="AC30" i="6" s="1"/>
  <c r="AD30" i="6"/>
  <c r="AH30" i="6" s="1"/>
  <c r="AI30" i="6" s="1"/>
  <c r="AB31" i="6"/>
  <c r="AC31" i="6" s="1"/>
  <c r="J37" i="6"/>
  <c r="M33" i="6"/>
  <c r="M35" i="6"/>
  <c r="L28" i="6"/>
  <c r="M28" i="6"/>
  <c r="M30" i="6"/>
  <c r="M32" i="6"/>
  <c r="M34" i="6"/>
  <c r="AB8" i="6"/>
  <c r="AC8" i="6" s="1"/>
  <c r="AG14" i="6"/>
  <c r="AG13" i="6"/>
  <c r="AG12" i="6"/>
  <c r="AG11" i="6"/>
  <c r="AG10" i="6"/>
  <c r="AG9" i="6"/>
  <c r="AB10" i="6"/>
  <c r="AC10" i="6" s="1"/>
  <c r="AD15" i="6"/>
  <c r="AH15" i="6" s="1"/>
  <c r="AI15" i="6" s="1"/>
  <c r="AB15" i="6"/>
  <c r="AC15" i="6" s="1"/>
  <c r="AB12" i="6"/>
  <c r="AC12" i="6" s="1"/>
  <c r="AD9" i="6"/>
  <c r="AH9" i="6" s="1"/>
  <c r="AI9" i="6" s="1"/>
  <c r="AB14" i="6"/>
  <c r="AC14" i="6" s="1"/>
  <c r="AD11" i="6"/>
  <c r="AH11" i="6" s="1"/>
  <c r="AI11" i="6" s="1"/>
  <c r="AB9" i="6"/>
  <c r="AC9" i="6" s="1"/>
  <c r="AB16" i="6"/>
  <c r="AC16" i="6" s="1"/>
  <c r="AD13" i="6"/>
  <c r="AH13" i="6" s="1"/>
  <c r="AI13" i="6" s="1"/>
  <c r="AB11" i="6"/>
  <c r="AC11" i="6" s="1"/>
  <c r="AD16" i="6"/>
  <c r="AD14" i="6"/>
  <c r="AH14" i="6" s="1"/>
  <c r="AI14" i="6" s="1"/>
  <c r="AD12" i="6"/>
  <c r="AH12" i="6" s="1"/>
  <c r="AI12" i="6" s="1"/>
  <c r="AD10" i="6"/>
  <c r="AH10" i="6" s="1"/>
  <c r="AI10" i="6" s="1"/>
  <c r="AD8" i="6"/>
  <c r="AH8" i="6" s="1"/>
  <c r="AI8" i="6" s="1"/>
  <c r="T17" i="6"/>
  <c r="M13" i="6"/>
  <c r="S34" i="2"/>
  <c r="U34" i="2" s="1"/>
  <c r="O58" i="2"/>
  <c r="P58" i="2" s="1"/>
  <c r="Q58" i="2" s="1"/>
  <c r="R58" i="2" s="1"/>
  <c r="N67" i="2"/>
  <c r="N70" i="2" s="1"/>
  <c r="G20" i="7" s="1"/>
  <c r="U41" i="2"/>
  <c r="U40" i="2"/>
  <c r="T67" i="2"/>
  <c r="T70" i="2" s="1"/>
  <c r="G26" i="7" s="1"/>
  <c r="T42" i="2"/>
  <c r="T45" i="2" s="1"/>
  <c r="F26" i="7" s="1"/>
  <c r="U66" i="2"/>
  <c r="U65" i="2"/>
  <c r="V65" i="2"/>
  <c r="V66" i="2"/>
  <c r="R38" i="2"/>
  <c r="S38" i="2" s="1"/>
  <c r="R39" i="2"/>
  <c r="S39" i="2" s="1"/>
  <c r="R37" i="2"/>
  <c r="S37" i="2" s="1"/>
  <c r="R36" i="2"/>
  <c r="S36" i="2" s="1"/>
  <c r="U36" i="2" s="1"/>
  <c r="V41" i="2"/>
  <c r="S33" i="2"/>
  <c r="R35" i="2"/>
  <c r="S35" i="2" s="1"/>
  <c r="P32" i="2"/>
  <c r="B11" i="2"/>
  <c r="B12" i="2" s="1"/>
  <c r="B13" i="2" s="1"/>
  <c r="B14" i="2" s="1"/>
  <c r="B15" i="2" s="1"/>
  <c r="B16" i="2" s="1"/>
  <c r="B17" i="2" s="1"/>
  <c r="W20" i="2"/>
  <c r="W23" i="2" s="1"/>
  <c r="E29" i="7" s="1"/>
  <c r="X19" i="2"/>
  <c r="Y19" i="2" s="1"/>
  <c r="P19" i="2"/>
  <c r="X18" i="2"/>
  <c r="Y18" i="2" s="1"/>
  <c r="P18" i="2"/>
  <c r="P89" i="2" s="1"/>
  <c r="X17" i="2"/>
  <c r="Y17" i="2" s="1"/>
  <c r="O17" i="2"/>
  <c r="X16" i="2"/>
  <c r="Y16" i="2" s="1"/>
  <c r="O16" i="2"/>
  <c r="Y15" i="2"/>
  <c r="O15" i="2"/>
  <c r="X14" i="2"/>
  <c r="Y14" i="2" s="1"/>
  <c r="X13" i="2"/>
  <c r="Y13" i="2" s="1"/>
  <c r="X12" i="2"/>
  <c r="Y12" i="2" s="1"/>
  <c r="P12" i="2"/>
  <c r="X11" i="2"/>
  <c r="Y11" i="2" s="1"/>
  <c r="O11" i="2"/>
  <c r="C11" i="2"/>
  <c r="C12" i="2" s="1"/>
  <c r="C13" i="2" s="1"/>
  <c r="C14" i="2" s="1"/>
  <c r="C15" i="2" s="1"/>
  <c r="C16" i="2" s="1"/>
  <c r="C17" i="2" s="1"/>
  <c r="X10" i="2"/>
  <c r="Y10" i="2" s="1"/>
  <c r="O10" i="2"/>
  <c r="AB3" i="2"/>
  <c r="AB2" i="2"/>
  <c r="O30" i="6" l="1"/>
  <c r="Q30" i="6" s="1"/>
  <c r="Q52" i="6"/>
  <c r="P52" i="6"/>
  <c r="O32" i="6"/>
  <c r="R32" i="6" s="1"/>
  <c r="S52" i="6"/>
  <c r="O81" i="2"/>
  <c r="O35" i="6"/>
  <c r="S35" i="6" s="1"/>
  <c r="S51" i="6"/>
  <c r="R54" i="6"/>
  <c r="P54" i="6"/>
  <c r="Q51" i="6"/>
  <c r="Q55" i="6"/>
  <c r="R51" i="6"/>
  <c r="O82" i="2"/>
  <c r="Q54" i="6"/>
  <c r="S55" i="6"/>
  <c r="Q50" i="6"/>
  <c r="S50" i="6"/>
  <c r="O87" i="2"/>
  <c r="O33" i="6"/>
  <c r="Q33" i="6" s="1"/>
  <c r="P55" i="6"/>
  <c r="N91" i="2"/>
  <c r="N94" i="2" s="1"/>
  <c r="I20" i="7" s="1"/>
  <c r="O34" i="6"/>
  <c r="Q34" i="6" s="1"/>
  <c r="U37" i="2"/>
  <c r="V37" i="2"/>
  <c r="R50" i="6"/>
  <c r="Q12" i="2"/>
  <c r="P17" i="2"/>
  <c r="O88" i="2"/>
  <c r="G291" i="9"/>
  <c r="H294" i="9" s="1"/>
  <c r="L53" i="6"/>
  <c r="O53" i="6" s="1"/>
  <c r="Q18" i="2"/>
  <c r="P15" i="2"/>
  <c r="O86" i="2"/>
  <c r="P50" i="6"/>
  <c r="P59" i="2"/>
  <c r="Q59" i="2" s="1"/>
  <c r="O83" i="2"/>
  <c r="P11" i="2"/>
  <c r="Q19" i="2"/>
  <c r="P90" i="2"/>
  <c r="J58" i="6"/>
  <c r="L49" i="6"/>
  <c r="M29" i="6"/>
  <c r="O29" i="6" s="1"/>
  <c r="Q29" i="6" s="1"/>
  <c r="M31" i="6"/>
  <c r="O31" i="6" s="1"/>
  <c r="Q31" i="6" s="1"/>
  <c r="O28" i="6"/>
  <c r="L37" i="6"/>
  <c r="Q32" i="6"/>
  <c r="S32" i="6"/>
  <c r="M9" i="6"/>
  <c r="M14" i="6"/>
  <c r="M15" i="6"/>
  <c r="M10" i="6"/>
  <c r="M8" i="6"/>
  <c r="M12" i="6"/>
  <c r="L10" i="6"/>
  <c r="L9" i="6"/>
  <c r="M11" i="6"/>
  <c r="L8" i="6"/>
  <c r="V34" i="2"/>
  <c r="S58" i="2"/>
  <c r="O67" i="2"/>
  <c r="O70" i="2" s="1"/>
  <c r="G21" i="7" s="1"/>
  <c r="U64" i="2"/>
  <c r="V64" i="2"/>
  <c r="V62" i="2"/>
  <c r="U62" i="2"/>
  <c r="U61" i="2"/>
  <c r="V61" i="2"/>
  <c r="Q57" i="2"/>
  <c r="V60" i="2"/>
  <c r="V63" i="2"/>
  <c r="U63" i="2"/>
  <c r="V35" i="2"/>
  <c r="U35" i="2"/>
  <c r="U38" i="2"/>
  <c r="V38" i="2"/>
  <c r="U39" i="2"/>
  <c r="V39" i="2"/>
  <c r="P42" i="2"/>
  <c r="P45" i="2" s="1"/>
  <c r="F22" i="7" s="1"/>
  <c r="Q32" i="2"/>
  <c r="V36" i="2"/>
  <c r="V33" i="2"/>
  <c r="U33" i="2"/>
  <c r="X20" i="2"/>
  <c r="X23" i="2" s="1"/>
  <c r="E30" i="7" s="1"/>
  <c r="Y20" i="2"/>
  <c r="Y23" i="2" s="1"/>
  <c r="E31" i="7" s="1"/>
  <c r="P10" i="2"/>
  <c r="P81" i="2" s="1"/>
  <c r="O14" i="2"/>
  <c r="N20" i="2"/>
  <c r="N23" i="2" s="1"/>
  <c r="E20" i="7" s="1"/>
  <c r="J20" i="7" s="1"/>
  <c r="O13" i="2"/>
  <c r="P16" i="2"/>
  <c r="R30" i="6" l="1"/>
  <c r="S30" i="6"/>
  <c r="P30" i="6"/>
  <c r="P35" i="6"/>
  <c r="P32" i="6"/>
  <c r="V32" i="6" s="1"/>
  <c r="W32" i="6" s="1"/>
  <c r="S34" i="6"/>
  <c r="P34" i="6"/>
  <c r="R35" i="6"/>
  <c r="Q35" i="6"/>
  <c r="R34" i="6"/>
  <c r="K20" i="7"/>
  <c r="P33" i="6"/>
  <c r="R33" i="6"/>
  <c r="S33" i="6"/>
  <c r="R31" i="6"/>
  <c r="Q17" i="2"/>
  <c r="P88" i="2"/>
  <c r="L58" i="6"/>
  <c r="O49" i="6"/>
  <c r="P83" i="2"/>
  <c r="R59" i="2"/>
  <c r="S59" i="2" s="1"/>
  <c r="Q16" i="2"/>
  <c r="Q87" i="2" s="1"/>
  <c r="P87" i="2"/>
  <c r="O20" i="2"/>
  <c r="O23" i="2" s="1"/>
  <c r="E21" i="7" s="1"/>
  <c r="J21" i="7" s="1"/>
  <c r="O84" i="2"/>
  <c r="Q15" i="2"/>
  <c r="P86" i="2"/>
  <c r="Q83" i="2"/>
  <c r="R12" i="2"/>
  <c r="S18" i="2"/>
  <c r="S89" i="2" s="1"/>
  <c r="Q89" i="2"/>
  <c r="P67" i="2"/>
  <c r="P70" i="2" s="1"/>
  <c r="G22" i="7" s="1"/>
  <c r="S19" i="2"/>
  <c r="S90" i="2" s="1"/>
  <c r="Q90" i="2"/>
  <c r="P14" i="2"/>
  <c r="O85" i="2"/>
  <c r="Q11" i="2"/>
  <c r="P82" i="2"/>
  <c r="R53" i="6"/>
  <c r="G301" i="9" s="1"/>
  <c r="S53" i="6"/>
  <c r="Q53" i="6"/>
  <c r="G300" i="9" s="1"/>
  <c r="P53" i="6"/>
  <c r="G299" i="9" s="1"/>
  <c r="R29" i="6"/>
  <c r="P29" i="6"/>
  <c r="S29" i="6"/>
  <c r="S31" i="6"/>
  <c r="P31" i="6"/>
  <c r="M37" i="6"/>
  <c r="O37" i="6"/>
  <c r="Q28" i="6"/>
  <c r="P28" i="6"/>
  <c r="S28" i="6"/>
  <c r="R28" i="6"/>
  <c r="O9" i="6"/>
  <c r="S9" i="6" s="1"/>
  <c r="O10" i="6"/>
  <c r="S10" i="6" s="1"/>
  <c r="M17" i="6"/>
  <c r="O8" i="6"/>
  <c r="Q8" i="6" s="1"/>
  <c r="L11" i="6"/>
  <c r="O11" i="6" s="1"/>
  <c r="U58" i="2"/>
  <c r="V58" i="2"/>
  <c r="Q67" i="2"/>
  <c r="Q70" i="2" s="1"/>
  <c r="G23" i="7" s="1"/>
  <c r="R57" i="2"/>
  <c r="Q42" i="2"/>
  <c r="Q45" i="2" s="1"/>
  <c r="F23" i="7" s="1"/>
  <c r="R32" i="2"/>
  <c r="R42" i="2" s="1"/>
  <c r="R45" i="2" s="1"/>
  <c r="F24" i="7" s="1"/>
  <c r="P13" i="2"/>
  <c r="Q10" i="2"/>
  <c r="Q81" i="2" s="1"/>
  <c r="V30" i="6" l="1"/>
  <c r="W30" i="6" s="1"/>
  <c r="R83" i="2"/>
  <c r="V34" i="6"/>
  <c r="W34" i="6" s="1"/>
  <c r="V35" i="6"/>
  <c r="W35" i="6" s="1"/>
  <c r="V33" i="6"/>
  <c r="W33" i="6" s="1"/>
  <c r="O91" i="2"/>
  <c r="O94" i="2" s="1"/>
  <c r="I21" i="7" s="1"/>
  <c r="K21" i="7" s="1"/>
  <c r="R16" i="2"/>
  <c r="R87" i="2" s="1"/>
  <c r="Q37" i="6"/>
  <c r="P20" i="2"/>
  <c r="P23" i="2" s="1"/>
  <c r="E22" i="7" s="1"/>
  <c r="J22" i="7" s="1"/>
  <c r="S32" i="2"/>
  <c r="U32" i="2" s="1"/>
  <c r="R67" i="2"/>
  <c r="R70" i="2" s="1"/>
  <c r="G24" i="7" s="1"/>
  <c r="V31" i="6"/>
  <c r="W31" i="6" s="1"/>
  <c r="S37" i="6"/>
  <c r="V59" i="2"/>
  <c r="U59" i="2"/>
  <c r="Q13" i="2"/>
  <c r="P84" i="2"/>
  <c r="R37" i="6"/>
  <c r="Q14" i="2"/>
  <c r="P85" i="2"/>
  <c r="S12" i="2"/>
  <c r="Q86" i="2"/>
  <c r="R15" i="2"/>
  <c r="Q49" i="6"/>
  <c r="Q58" i="6" s="1"/>
  <c r="P49" i="6"/>
  <c r="P58" i="6" s="1"/>
  <c r="S49" i="6"/>
  <c r="S58" i="6" s="1"/>
  <c r="R49" i="6"/>
  <c r="R58" i="6" s="1"/>
  <c r="O58" i="6"/>
  <c r="V29" i="6"/>
  <c r="W29" i="6" s="1"/>
  <c r="Q82" i="2"/>
  <c r="R11" i="2"/>
  <c r="R82" i="2" s="1"/>
  <c r="Q88" i="2"/>
  <c r="R17" i="2"/>
  <c r="V28" i="6"/>
  <c r="P37" i="6"/>
  <c r="Q9" i="6"/>
  <c r="R9" i="6"/>
  <c r="P9" i="6"/>
  <c r="R10" i="6"/>
  <c r="P10" i="6"/>
  <c r="Q10" i="6"/>
  <c r="S11" i="6"/>
  <c r="Q11" i="6"/>
  <c r="R11" i="6"/>
  <c r="P11" i="6"/>
  <c r="P8" i="6"/>
  <c r="S8" i="6"/>
  <c r="R8" i="6"/>
  <c r="S57" i="2"/>
  <c r="R10" i="2"/>
  <c r="S16" i="2" l="1"/>
  <c r="S87" i="2" s="1"/>
  <c r="S42" i="2"/>
  <c r="S45" i="2" s="1"/>
  <c r="F25" i="7" s="1"/>
  <c r="V32" i="2"/>
  <c r="V42" i="2" s="1"/>
  <c r="V45" i="2" s="1"/>
  <c r="F28" i="7" s="1"/>
  <c r="Q20" i="2"/>
  <c r="Q23" i="2" s="1"/>
  <c r="E23" i="7" s="1"/>
  <c r="J23" i="7" s="1"/>
  <c r="P91" i="2"/>
  <c r="P94" i="2" s="1"/>
  <c r="I22" i="7" s="1"/>
  <c r="K22" i="7" s="1"/>
  <c r="S11" i="2"/>
  <c r="S15" i="2"/>
  <c r="R86" i="2"/>
  <c r="Q84" i="2"/>
  <c r="R13" i="2"/>
  <c r="R81" i="2"/>
  <c r="U12" i="2"/>
  <c r="U83" i="2" s="1"/>
  <c r="S83" i="2"/>
  <c r="V12" i="2"/>
  <c r="S17" i="2"/>
  <c r="S88" i="2" s="1"/>
  <c r="R88" i="2"/>
  <c r="Q85" i="2"/>
  <c r="R14" i="2"/>
  <c r="V37" i="6"/>
  <c r="W28" i="6"/>
  <c r="W37" i="6" s="1"/>
  <c r="V9" i="6"/>
  <c r="W9" i="6" s="1"/>
  <c r="V10" i="6"/>
  <c r="W10" i="6" s="1"/>
  <c r="V11" i="6"/>
  <c r="W11" i="6" s="1"/>
  <c r="V8" i="6"/>
  <c r="L12" i="6"/>
  <c r="L13" i="6"/>
  <c r="O13" i="6" s="1"/>
  <c r="S67" i="2"/>
  <c r="S70" i="2" s="1"/>
  <c r="G25" i="7" s="1"/>
  <c r="V57" i="2"/>
  <c r="U57" i="2"/>
  <c r="U42" i="2"/>
  <c r="U45" i="2" s="1"/>
  <c r="F27" i="7" s="1"/>
  <c r="S10" i="2"/>
  <c r="S81" i="2" s="1"/>
  <c r="U16" i="2" l="1"/>
  <c r="U87" i="2" s="1"/>
  <c r="V16" i="2"/>
  <c r="V87" i="2" s="1"/>
  <c r="Q91" i="2"/>
  <c r="Q94" i="2" s="1"/>
  <c r="I23" i="7" s="1"/>
  <c r="K23" i="7" s="1"/>
  <c r="R20" i="2"/>
  <c r="R23" i="2" s="1"/>
  <c r="E24" i="7" s="1"/>
  <c r="J24" i="7" s="1"/>
  <c r="S14" i="2"/>
  <c r="R85" i="2"/>
  <c r="S13" i="2"/>
  <c r="S84" i="2" s="1"/>
  <c r="R84" i="2"/>
  <c r="V83" i="2"/>
  <c r="S86" i="2"/>
  <c r="V15" i="2"/>
  <c r="U15" i="2"/>
  <c r="Z12" i="2"/>
  <c r="AA12" i="2" s="1"/>
  <c r="S82" i="2"/>
  <c r="U11" i="2"/>
  <c r="V11" i="2"/>
  <c r="O12" i="6"/>
  <c r="S13" i="6"/>
  <c r="R13" i="6"/>
  <c r="Q13" i="6"/>
  <c r="P13" i="6"/>
  <c r="W8" i="6"/>
  <c r="U67" i="2"/>
  <c r="U70" i="2" s="1"/>
  <c r="G27" i="7" s="1"/>
  <c r="V67" i="2"/>
  <c r="V70" i="2" s="1"/>
  <c r="G28" i="7" s="1"/>
  <c r="U10" i="2"/>
  <c r="U81" i="2" s="1"/>
  <c r="V10" i="2"/>
  <c r="V81" i="2" s="1"/>
  <c r="AB12" i="2" l="1"/>
  <c r="W34" i="2" s="1"/>
  <c r="X34" i="2" s="1"/>
  <c r="R91" i="2"/>
  <c r="R94" i="2" s="1"/>
  <c r="I24" i="7" s="1"/>
  <c r="K24" i="7" s="1"/>
  <c r="Z16" i="2"/>
  <c r="S85" i="2"/>
  <c r="S91" i="2" s="1"/>
  <c r="S94" i="2" s="1"/>
  <c r="I25" i="7" s="1"/>
  <c r="U14" i="2"/>
  <c r="V14" i="2"/>
  <c r="U82" i="2"/>
  <c r="Z11" i="2"/>
  <c r="S20" i="2"/>
  <c r="S23" i="2" s="1"/>
  <c r="E25" i="7" s="1"/>
  <c r="J25" i="7" s="1"/>
  <c r="V82" i="2"/>
  <c r="V86" i="2"/>
  <c r="U86" i="2"/>
  <c r="Z15" i="2"/>
  <c r="AB15" i="2" s="1"/>
  <c r="W37" i="2" s="1"/>
  <c r="L15" i="6"/>
  <c r="O15" i="6" s="1"/>
  <c r="L14" i="6"/>
  <c r="V13" i="6"/>
  <c r="W13" i="6" s="1"/>
  <c r="S12" i="6"/>
  <c r="R12" i="6"/>
  <c r="Q12" i="6"/>
  <c r="P12" i="6"/>
  <c r="Z10" i="2"/>
  <c r="AB11" i="2" l="1"/>
  <c r="W33" i="2" s="1"/>
  <c r="Y34" i="2"/>
  <c r="Z34" i="2" s="1"/>
  <c r="AB34" i="2" s="1"/>
  <c r="W59" i="2" s="1"/>
  <c r="X59" i="2" s="1"/>
  <c r="AA16" i="2"/>
  <c r="AB16" i="2"/>
  <c r="W38" i="2" s="1"/>
  <c r="X38" i="2" s="1"/>
  <c r="AA11" i="2"/>
  <c r="AA15" i="2"/>
  <c r="X37" i="2"/>
  <c r="K25" i="7"/>
  <c r="V85" i="2"/>
  <c r="U85" i="2"/>
  <c r="Z14" i="2"/>
  <c r="AB14" i="2" s="1"/>
  <c r="W36" i="2" s="1"/>
  <c r="X36" i="2" s="1"/>
  <c r="V12" i="6"/>
  <c r="J17" i="6"/>
  <c r="O14" i="6"/>
  <c r="L17" i="6"/>
  <c r="Q15" i="6"/>
  <c r="P15" i="6"/>
  <c r="S15" i="6"/>
  <c r="R15" i="6"/>
  <c r="AA10" i="2"/>
  <c r="AB10" i="2"/>
  <c r="X33" i="2" l="1"/>
  <c r="Y33" i="2" s="1"/>
  <c r="Z33" i="2" s="1"/>
  <c r="X83" i="2"/>
  <c r="Y83" i="2" s="1"/>
  <c r="X108" i="2"/>
  <c r="Y108" i="2" s="1"/>
  <c r="Y37" i="2"/>
  <c r="Z37" i="2" s="1"/>
  <c r="AA37" i="2" s="1"/>
  <c r="AA34" i="2"/>
  <c r="AA14" i="2"/>
  <c r="Y59" i="2"/>
  <c r="Y38" i="2"/>
  <c r="Y36" i="2"/>
  <c r="W32" i="2"/>
  <c r="X32" i="2" s="1"/>
  <c r="R14" i="6"/>
  <c r="R17" i="6" s="1"/>
  <c r="Q14" i="6"/>
  <c r="Q17" i="6" s="1"/>
  <c r="P14" i="6"/>
  <c r="S14" i="6"/>
  <c r="S17" i="6" s="1"/>
  <c r="O17" i="6"/>
  <c r="V15" i="6"/>
  <c r="W15" i="6" s="1"/>
  <c r="W12" i="6"/>
  <c r="Z108" i="2" l="1"/>
  <c r="AA108" i="2" s="1"/>
  <c r="Z83" i="2"/>
  <c r="AA83" i="2" s="1"/>
  <c r="G296" i="9"/>
  <c r="AB37" i="2"/>
  <c r="W62" i="2" s="1"/>
  <c r="X62" i="2" s="1"/>
  <c r="Z59" i="2"/>
  <c r="Z38" i="2"/>
  <c r="Z36" i="2"/>
  <c r="AB33" i="2"/>
  <c r="W58" i="2" s="1"/>
  <c r="X58" i="2" s="1"/>
  <c r="AA33" i="2"/>
  <c r="V14" i="6"/>
  <c r="P17" i="6"/>
  <c r="AB83" i="2" l="1"/>
  <c r="X107" i="2"/>
  <c r="X82" i="2"/>
  <c r="Y82" i="2" s="1"/>
  <c r="X111" i="2"/>
  <c r="Y111" i="2" s="1"/>
  <c r="Z111" i="2" s="1"/>
  <c r="X86" i="2"/>
  <c r="Y86" i="2" s="1"/>
  <c r="AB108" i="2"/>
  <c r="Y62" i="2"/>
  <c r="Z62" i="2" s="1"/>
  <c r="AB62" i="2" s="1"/>
  <c r="Y58" i="2"/>
  <c r="AB59" i="2"/>
  <c r="AA59" i="2"/>
  <c r="AA36" i="2"/>
  <c r="AB36" i="2"/>
  <c r="W61" i="2" s="1"/>
  <c r="AA38" i="2"/>
  <c r="AB38" i="2"/>
  <c r="W63" i="2" s="1"/>
  <c r="X63" i="2" s="1"/>
  <c r="Y32" i="2"/>
  <c r="V17" i="6"/>
  <c r="W14" i="6"/>
  <c r="W17" i="6" s="1"/>
  <c r="AB111" i="2" l="1"/>
  <c r="AA111" i="2"/>
  <c r="X112" i="2"/>
  <c r="Y112" i="2" s="1"/>
  <c r="X87" i="2"/>
  <c r="Y87" i="2" s="1"/>
  <c r="Z82" i="2"/>
  <c r="AA82" i="2" s="1"/>
  <c r="Z86" i="2"/>
  <c r="AA86" i="2" s="1"/>
  <c r="Y107" i="2"/>
  <c r="G297" i="9"/>
  <c r="X61" i="2"/>
  <c r="AA62" i="2"/>
  <c r="Z58" i="2"/>
  <c r="AB58" i="2" s="1"/>
  <c r="T51" i="6"/>
  <c r="V51" i="6" s="1"/>
  <c r="W51" i="6" s="1"/>
  <c r="Z32" i="2"/>
  <c r="AB82" i="2" l="1"/>
  <c r="Z87" i="2"/>
  <c r="AA87" i="2" s="1"/>
  <c r="Z112" i="2"/>
  <c r="AA112" i="2" s="1"/>
  <c r="AB86" i="2"/>
  <c r="X110" i="2"/>
  <c r="Y110" i="2" s="1"/>
  <c r="X85" i="2"/>
  <c r="Y85" i="2" s="1"/>
  <c r="Z107" i="2"/>
  <c r="AA107" i="2" s="1"/>
  <c r="Y61" i="2"/>
  <c r="Z61" i="2" s="1"/>
  <c r="AA61" i="2" s="1"/>
  <c r="T54" i="6"/>
  <c r="V54" i="6" s="1"/>
  <c r="W54" i="6" s="1"/>
  <c r="AA58" i="2"/>
  <c r="Y63" i="2"/>
  <c r="Z63" i="2" s="1"/>
  <c r="AB32" i="2"/>
  <c r="W57" i="2" s="1"/>
  <c r="X57" i="2" s="1"/>
  <c r="AA32" i="2"/>
  <c r="AB87" i="2" l="1"/>
  <c r="Z85" i="2"/>
  <c r="AA85" i="2" s="1"/>
  <c r="AB112" i="2"/>
  <c r="X106" i="2"/>
  <c r="X81" i="2"/>
  <c r="Y81" i="2" s="1"/>
  <c r="Z110" i="2"/>
  <c r="AA110" i="2" s="1"/>
  <c r="AB107" i="2"/>
  <c r="G298" i="9"/>
  <c r="J298" i="9" s="1"/>
  <c r="AA133" i="2"/>
  <c r="AB61" i="2"/>
  <c r="F308" i="9" s="1"/>
  <c r="T50" i="6"/>
  <c r="V50" i="6" s="1"/>
  <c r="W50" i="6" s="1"/>
  <c r="Y57" i="2"/>
  <c r="T53" i="6"/>
  <c r="V53" i="6" s="1"/>
  <c r="W53" i="6" s="1"/>
  <c r="AB63" i="2"/>
  <c r="AA63" i="2"/>
  <c r="V13" i="2"/>
  <c r="V84" i="2" s="1"/>
  <c r="AB85" i="2" l="1"/>
  <c r="Y106" i="2"/>
  <c r="Z81" i="2"/>
  <c r="AA81" i="2" s="1"/>
  <c r="AB110" i="2"/>
  <c r="Z57" i="2"/>
  <c r="AB57" i="2" s="1"/>
  <c r="T55" i="6"/>
  <c r="V55" i="6" s="1"/>
  <c r="W55" i="6" s="1"/>
  <c r="U13" i="2"/>
  <c r="U84" i="2" s="1"/>
  <c r="AB81" i="2" l="1"/>
  <c r="Z106" i="2"/>
  <c r="AA57" i="2"/>
  <c r="T49" i="6" s="1"/>
  <c r="Z13" i="2"/>
  <c r="AA106" i="2" l="1"/>
  <c r="AB106" i="2"/>
  <c r="V49" i="6"/>
  <c r="W49" i="6" s="1"/>
  <c r="AB13" i="2"/>
  <c r="AA13" i="2"/>
  <c r="W35" i="2" l="1"/>
  <c r="X35" i="2" l="1"/>
  <c r="Y35" i="2" l="1"/>
  <c r="Z35" i="2" l="1"/>
  <c r="AA35" i="2" l="1"/>
  <c r="AB35" i="2"/>
  <c r="W60" i="2" s="1"/>
  <c r="V17" i="2"/>
  <c r="V88" i="2" s="1"/>
  <c r="U17" i="2"/>
  <c r="U88" i="2" s="1"/>
  <c r="X60" i="2" l="1"/>
  <c r="Z17" i="2"/>
  <c r="X109" i="2" l="1"/>
  <c r="X84" i="2"/>
  <c r="Y84" i="2" s="1"/>
  <c r="Y60" i="2"/>
  <c r="AA17" i="2"/>
  <c r="AB17" i="2"/>
  <c r="Z84" i="2" l="1"/>
  <c r="AA84" i="2" s="1"/>
  <c r="Y109" i="2"/>
  <c r="Z60" i="2"/>
  <c r="AB60" i="2" s="1"/>
  <c r="W39" i="2"/>
  <c r="X39" i="2" s="1"/>
  <c r="Z109" i="2" l="1"/>
  <c r="AB109" i="2" s="1"/>
  <c r="AB84" i="2"/>
  <c r="AA60" i="2"/>
  <c r="Y39" i="2"/>
  <c r="AA109" i="2" l="1"/>
  <c r="T52" i="6"/>
  <c r="V52" i="6" s="1"/>
  <c r="W52" i="6" s="1"/>
  <c r="Z39" i="2"/>
  <c r="AB39" i="2" l="1"/>
  <c r="W64" i="2" s="1"/>
  <c r="AA39" i="2"/>
  <c r="X64" i="2" l="1"/>
  <c r="V18" i="2"/>
  <c r="V89" i="2" s="1"/>
  <c r="U18" i="2"/>
  <c r="U89" i="2" s="1"/>
  <c r="X113" i="2" l="1"/>
  <c r="X88" i="2"/>
  <c r="Y88" i="2" s="1"/>
  <c r="Y64" i="2"/>
  <c r="Z18" i="2"/>
  <c r="Y113" i="2" l="1"/>
  <c r="Z88" i="2"/>
  <c r="AA88" i="2" s="1"/>
  <c r="Z64" i="2"/>
  <c r="AA18" i="2"/>
  <c r="AB18" i="2"/>
  <c r="AB88" i="2" l="1"/>
  <c r="Z113" i="2"/>
  <c r="AB64" i="2"/>
  <c r="AA64" i="2"/>
  <c r="W40" i="2"/>
  <c r="X40" i="2" s="1"/>
  <c r="AB113" i="2" l="1"/>
  <c r="AA113" i="2"/>
  <c r="T56" i="6"/>
  <c r="Y40" i="2"/>
  <c r="V56" i="6" l="1"/>
  <c r="T58" i="6"/>
  <c r="Z40" i="2"/>
  <c r="V58" i="6" l="1"/>
  <c r="W56" i="6"/>
  <c r="W58" i="6" s="1"/>
  <c r="AB40" i="2"/>
  <c r="W65" i="2" s="1"/>
  <c r="AA40" i="2"/>
  <c r="AE20" i="2"/>
  <c r="U19" i="2"/>
  <c r="T20" i="2"/>
  <c r="V19" i="2"/>
  <c r="V90" i="2" s="1"/>
  <c r="V91" i="2" l="1"/>
  <c r="V94" i="2" s="1"/>
  <c r="I28" i="7" s="1"/>
  <c r="T23" i="2"/>
  <c r="E26" i="7" s="1"/>
  <c r="J26" i="7" s="1"/>
  <c r="K26" i="7" s="1"/>
  <c r="T92" i="2"/>
  <c r="T117" i="2" s="1"/>
  <c r="X65" i="2"/>
  <c r="U20" i="2"/>
  <c r="U90" i="2"/>
  <c r="U91" i="2" s="1"/>
  <c r="U94" i="2" s="1"/>
  <c r="I27" i="7" s="1"/>
  <c r="V20" i="2"/>
  <c r="Z19" i="2"/>
  <c r="V23" i="2" l="1"/>
  <c r="E28" i="7" s="1"/>
  <c r="J28" i="7" s="1"/>
  <c r="K28" i="7" s="1"/>
  <c r="V92" i="2"/>
  <c r="V117" i="2" s="1"/>
  <c r="X114" i="2"/>
  <c r="X89" i="2"/>
  <c r="Y89" i="2" s="1"/>
  <c r="U23" i="2"/>
  <c r="E27" i="7" s="1"/>
  <c r="J27" i="7" s="1"/>
  <c r="K27" i="7" s="1"/>
  <c r="U92" i="2"/>
  <c r="U117" i="2" s="1"/>
  <c r="Y65" i="2"/>
  <c r="Z20" i="2"/>
  <c r="Z23" i="2" s="1"/>
  <c r="E32" i="7" s="1"/>
  <c r="AA19" i="2"/>
  <c r="AB19" i="2"/>
  <c r="Z89" i="2" l="1"/>
  <c r="AA89" i="2" s="1"/>
  <c r="Y114" i="2"/>
  <c r="Z65" i="2"/>
  <c r="AB65" i="2" s="1"/>
  <c r="AA20" i="2"/>
  <c r="W41" i="2"/>
  <c r="AB20" i="2"/>
  <c r="AB23" i="2" s="1"/>
  <c r="E34" i="7" s="1"/>
  <c r="Z114" i="2" l="1"/>
  <c r="AB114" i="2" s="1"/>
  <c r="AB89" i="2"/>
  <c r="AA23" i="2"/>
  <c r="AA65" i="2"/>
  <c r="E33" i="7"/>
  <c r="W42" i="2"/>
  <c r="X41" i="2"/>
  <c r="AA114" i="2" l="1"/>
  <c r="H305" i="9"/>
  <c r="H307" i="9" s="1"/>
  <c r="E42" i="7"/>
  <c r="E48" i="7" s="1"/>
  <c r="E51" i="7" s="1"/>
  <c r="X42" i="2"/>
  <c r="X45" i="2" s="1"/>
  <c r="F30" i="7" s="1"/>
  <c r="W45" i="2"/>
  <c r="F29" i="7" s="1"/>
  <c r="Y41" i="2"/>
  <c r="Y42" i="2" l="1"/>
  <c r="Y45" i="2" s="1"/>
  <c r="F31" i="7" s="1"/>
  <c r="Z41" i="2"/>
  <c r="AA41" i="2" l="1"/>
  <c r="Z42" i="2"/>
  <c r="Z45" i="2" s="1"/>
  <c r="F32" i="7" s="1"/>
  <c r="AB41" i="2"/>
  <c r="W66" i="2" s="1"/>
  <c r="X66" i="2" l="1"/>
  <c r="W67" i="2"/>
  <c r="AA42" i="2"/>
  <c r="T63" i="6" s="1"/>
  <c r="AB42" i="2"/>
  <c r="AB45" i="2" s="1"/>
  <c r="F34" i="7" s="1"/>
  <c r="W70" i="2" l="1"/>
  <c r="G29" i="7" s="1"/>
  <c r="J29" i="7" s="1"/>
  <c r="K29" i="7" s="1"/>
  <c r="W92" i="2"/>
  <c r="W117" i="2" s="1"/>
  <c r="X115" i="2"/>
  <c r="X90" i="2"/>
  <c r="Y90" i="2" s="1"/>
  <c r="F33" i="7"/>
  <c r="Y66" i="2"/>
  <c r="X67" i="2"/>
  <c r="AA45" i="2"/>
  <c r="X70" i="2" l="1"/>
  <c r="G30" i="7" s="1"/>
  <c r="J30" i="7" s="1"/>
  <c r="X92" i="2"/>
  <c r="X117" i="2" s="1"/>
  <c r="Z90" i="2"/>
  <c r="AA90" i="2" s="1"/>
  <c r="Y115" i="2"/>
  <c r="X116" i="2"/>
  <c r="X119" i="2" s="1"/>
  <c r="F42" i="7"/>
  <c r="F48" i="7" s="1"/>
  <c r="F51" i="7" s="1"/>
  <c r="Y91" i="2"/>
  <c r="Y94" i="2" s="1"/>
  <c r="I31" i="7" s="1"/>
  <c r="X91" i="2"/>
  <c r="X94" i="2" s="1"/>
  <c r="I30" i="7" s="1"/>
  <c r="Z66" i="2"/>
  <c r="AB66" i="2" s="1"/>
  <c r="AB67" i="2" s="1"/>
  <c r="Y67" i="2"/>
  <c r="K30" i="7" l="1"/>
  <c r="AB90" i="2"/>
  <c r="Z115" i="2"/>
  <c r="AB115" i="2" s="1"/>
  <c r="AB116" i="2" s="1"/>
  <c r="AB119" i="2" s="1"/>
  <c r="Y116" i="2"/>
  <c r="Y119" i="2" s="1"/>
  <c r="Y70" i="2"/>
  <c r="G31" i="7" s="1"/>
  <c r="J31" i="7" s="1"/>
  <c r="K31" i="7" s="1"/>
  <c r="Y92" i="2"/>
  <c r="Y117" i="2" s="1"/>
  <c r="AB70" i="2"/>
  <c r="G34" i="7" s="1"/>
  <c r="J34" i="7" s="1"/>
  <c r="AB92" i="2"/>
  <c r="AB117" i="2" s="1"/>
  <c r="AA66" i="2"/>
  <c r="Z67" i="2"/>
  <c r="Z70" i="2" l="1"/>
  <c r="G32" i="7" s="1"/>
  <c r="J32" i="7" s="1"/>
  <c r="Z92" i="2"/>
  <c r="Z117" i="2" s="1"/>
  <c r="AA115" i="2"/>
  <c r="AA116" i="2" s="1"/>
  <c r="AA119" i="2" s="1"/>
  <c r="Z116" i="2"/>
  <c r="Z119" i="2" s="1"/>
  <c r="AA67" i="2"/>
  <c r="AA91" i="2"/>
  <c r="AA94" i="2" s="1"/>
  <c r="I33" i="7" s="1"/>
  <c r="I42" i="7" s="1"/>
  <c r="I48" i="7" s="1"/>
  <c r="I51" i="7" s="1"/>
  <c r="AB91" i="2"/>
  <c r="Z91" i="2"/>
  <c r="Z94" i="2" s="1"/>
  <c r="I32" i="7" s="1"/>
  <c r="K32" i="7" l="1"/>
  <c r="AA92" i="2"/>
  <c r="AA117" i="2" s="1"/>
  <c r="T64" i="6"/>
  <c r="T65" i="6" s="1"/>
  <c r="AB94" i="2"/>
  <c r="I34" i="7" s="1"/>
  <c r="K34" i="7" s="1"/>
  <c r="AA70" i="2"/>
  <c r="G33" i="7" s="1"/>
  <c r="T61" i="6"/>
  <c r="G42" i="7" l="1"/>
  <c r="G48" i="7" s="1"/>
  <c r="G51" i="7" s="1"/>
  <c r="J33" i="7"/>
  <c r="K3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Z2" authorId="0" shapeId="0" xr:uid="{060BEC12-22DC-49A0-AC24-02192B6AC99A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dia hábil del mes anterior</t>
        </r>
      </text>
    </comment>
    <comment ref="Z3" authorId="0" shapeId="0" xr:uid="{235EAF7E-2396-4E04-9BE0-523511227CFD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día hábil del mes plla.</t>
        </r>
      </text>
    </comment>
    <comment ref="Z24" authorId="0" shapeId="0" xr:uid="{998371ED-BB2F-4711-BDC5-BC7DC977F45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dia hábil del mes anterior</t>
        </r>
      </text>
    </comment>
    <comment ref="Z25" authorId="0" shapeId="0" xr:uid="{1297BAC2-9720-4B5C-844C-D0D4A5864B1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día hábil del mes plla.</t>
        </r>
      </text>
    </comment>
    <comment ref="Z49" authorId="0" shapeId="0" xr:uid="{64741148-385A-4302-825E-8897E0ABE51F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dia hábil del mes anterior</t>
        </r>
      </text>
    </comment>
    <comment ref="Z50" authorId="0" shapeId="0" xr:uid="{8146495C-F26B-4256-9AEF-E9B01EF161C2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día hábil del mes plla.</t>
        </r>
      </text>
    </comment>
    <comment ref="Z73" authorId="0" shapeId="0" xr:uid="{38340227-5625-4DCD-A660-184D8F31D0A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dia hábil del mes anterior</t>
        </r>
      </text>
    </comment>
    <comment ref="Z74" authorId="0" shapeId="0" xr:uid="{4EC197FD-4678-4FF2-A457-CCEE1F9AFC8B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día hábil del mes plla.</t>
        </r>
      </text>
    </comment>
    <comment ref="Z98" authorId="0" shapeId="0" xr:uid="{6F041B50-C8A8-4EC4-8770-990B284FC4CD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dia hábil del mes anterior</t>
        </r>
      </text>
    </comment>
    <comment ref="Z99" authorId="0" shapeId="0" xr:uid="{2C36D20F-05EA-45B3-B7AE-6113F668DC3A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Último día hábil del mes plla.</t>
        </r>
      </text>
    </comment>
  </commentList>
</comments>
</file>

<file path=xl/sharedStrings.xml><?xml version="1.0" encoding="utf-8"?>
<sst xmlns="http://schemas.openxmlformats.org/spreadsheetml/2006/main" count="1227" uniqueCount="530">
  <si>
    <t>UFV INICIAL:</t>
  </si>
  <si>
    <t>Bolivia - Bolivia</t>
  </si>
  <si>
    <t>UFV FINAL:</t>
  </si>
  <si>
    <t>PLANILLA TRIBUTARIA</t>
  </si>
  <si>
    <t>SMN</t>
  </si>
  <si>
    <t>(Expresado en Bolivianos)</t>
  </si>
  <si>
    <t>Año</t>
  </si>
  <si>
    <t>Periodo</t>
  </si>
  <si>
    <t>Código dependiente RC-IVA</t>
  </si>
  <si>
    <t>Nombres</t>
  </si>
  <si>
    <t>Primer Apellido</t>
  </si>
  <si>
    <t>Segundo Apellido</t>
  </si>
  <si>
    <t>Número de documento de identidad</t>
  </si>
  <si>
    <t>Tipo de documento</t>
  </si>
  <si>
    <t>Novedades (I=Incorporación V=Vigente D=Desvinculado)</t>
  </si>
  <si>
    <t>Monto de ingreso neto</t>
  </si>
  <si>
    <t>Dos (2) SMN         no imponibles</t>
  </si>
  <si>
    <t>Importe sujeto a impuesto
(base imponible)</t>
  </si>
  <si>
    <t>Impuesto RC-IVA</t>
  </si>
  <si>
    <t>13% de dos (2) SMN</t>
  </si>
  <si>
    <t>Impuesto neto 
RC-IVA</t>
  </si>
  <si>
    <t>F-110 13% de facturas presentadas</t>
  </si>
  <si>
    <t>Saldo a favor del Fisco</t>
  </si>
  <si>
    <t>Saldo a Favor del Dependiente</t>
  </si>
  <si>
    <t>Saldo a favor del dependiente 
periodo anterior</t>
  </si>
  <si>
    <t>Mantenimiento de valor del saldo a favor del dependiente del periodo anterior</t>
  </si>
  <si>
    <t>Saldo del periodo anterior actualizado</t>
  </si>
  <si>
    <t>Saldo Utilizado</t>
  </si>
  <si>
    <t>Impuesto RC-IVA retenido</t>
  </si>
  <si>
    <t>Saldo de Crédito Fiscal a favor del dependiente para el mes siguiente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</si>
  <si>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</si>
  <si>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</si>
  <si>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</si>
  <si>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</si>
  <si>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</si>
  <si>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</si>
  <si>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</si>
  <si>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</si>
  <si>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</si>
  <si>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</si>
  <si>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</si>
  <si>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l=j-k(si j&gt;k)</t>
  </si>
  <si>
    <t>m=l*13%</t>
  </si>
  <si>
    <t>n</t>
  </si>
  <si>
    <t>o=m-n(si m&gt;n)</t>
  </si>
  <si>
    <t>p</t>
  </si>
  <si>
    <t>q=o-p (si o&gt;p)</t>
  </si>
  <si>
    <t>r=p-o (si p&gt;o)</t>
  </si>
  <si>
    <t>s</t>
  </si>
  <si>
    <t>t</t>
  </si>
  <si>
    <t>u=s+t</t>
  </si>
  <si>
    <t>v=u (si u&lt;=q); v=q (si q&lt;u)</t>
  </si>
  <si>
    <t>w=q-v (si q&gt;v)</t>
  </si>
  <si>
    <t>x=r+u-v</t>
  </si>
  <si>
    <t>FREDDY</t>
  </si>
  <si>
    <t>LEDEZMA</t>
  </si>
  <si>
    <t>ZEBALLOS</t>
  </si>
  <si>
    <t>CI</t>
  </si>
  <si>
    <t>V</t>
  </si>
  <si>
    <t>JUAN</t>
  </si>
  <si>
    <t>PEREZ</t>
  </si>
  <si>
    <t>I</t>
  </si>
  <si>
    <t>JOSE</t>
  </si>
  <si>
    <t>MEDRANO</t>
  </si>
  <si>
    <t>MENA</t>
  </si>
  <si>
    <t>NORKA</t>
  </si>
  <si>
    <t>JIMEMEZ</t>
  </si>
  <si>
    <t>ALBARRACIN</t>
  </si>
  <si>
    <t>NORMA</t>
  </si>
  <si>
    <t>TERAN</t>
  </si>
  <si>
    <t>CARLOS</t>
  </si>
  <si>
    <t>BAENA</t>
  </si>
  <si>
    <t>LOPEZ</t>
  </si>
  <si>
    <t>CARMEN</t>
  </si>
  <si>
    <t>TERESA</t>
  </si>
  <si>
    <t>MARALES</t>
  </si>
  <si>
    <t>AYME</t>
  </si>
  <si>
    <t>TOTALES</t>
  </si>
  <si>
    <t>Correspondiente al mes de: Junio de 2020</t>
  </si>
  <si>
    <t>Correspondiente al mes de: Abril de 2020</t>
  </si>
  <si>
    <t>PRORROGA PARA EL CUMPLIMIENTO DE OBLIGACIONES TRIBUTARIAS</t>
  </si>
  <si>
    <t>RND 1020_09</t>
  </si>
  <si>
    <t>DISPOSICIONES TRANSITORIAS</t>
  </si>
  <si>
    <t>RND 1020_06</t>
  </si>
  <si>
    <t>PRÓRROGA DE VENCIMIENTO PARA PRESENTACIÓN Y PAGO DE OBLIGACIONES TRIBUTARIAS</t>
  </si>
  <si>
    <t>Correspondiente al mes de: Mayo de 2020</t>
  </si>
  <si>
    <t>NIT 1234567024</t>
  </si>
  <si>
    <t>(Estimado)</t>
  </si>
  <si>
    <t>Sueldo neto
Jun-20</t>
  </si>
  <si>
    <t>Hasta 20/06/2020</t>
  </si>
  <si>
    <t>Agente de INFO.</t>
  </si>
  <si>
    <t>Resumen Prorrogas (Timeline)</t>
  </si>
  <si>
    <t xml:space="preserve">Planilla de Sueldos </t>
  </si>
  <si>
    <t>NO BORRAR</t>
  </si>
  <si>
    <t>No</t>
  </si>
  <si>
    <t>Exp</t>
  </si>
  <si>
    <t xml:space="preserve">Apellidos y Nombre </t>
  </si>
  <si>
    <t>Nacionalidad</t>
  </si>
  <si>
    <t>Fecha de 
Nacimiento</t>
  </si>
  <si>
    <t>Sexo 
(F/M)</t>
  </si>
  <si>
    <t>Ocupacion</t>
  </si>
  <si>
    <t>Fecha de 
Ingreso</t>
  </si>
  <si>
    <t>Haber 
Basico c/increm</t>
  </si>
  <si>
    <t xml:space="preserve">Dias 
Trabajados </t>
  </si>
  <si>
    <t>Monto
(A)</t>
  </si>
  <si>
    <t>Bono de 
Antiguedad
(B)</t>
  </si>
  <si>
    <t>Comisiones, Otros Ingresos
(C)</t>
  </si>
  <si>
    <t>Total Ganado (E) A+B+C+D</t>
  </si>
  <si>
    <t>AFP 12.71% 
(F)</t>
  </si>
  <si>
    <t>Aporte Solidario 1% (G)</t>
  </si>
  <si>
    <t>Aporte Solidario 5% (H)</t>
  </si>
  <si>
    <t>Aporte Solidario 10% (I)</t>
  </si>
  <si>
    <t>RC-IVA 13%
(J)</t>
  </si>
  <si>
    <t>Otros Dctos
(K)</t>
  </si>
  <si>
    <t>Total Dctos
(J) F+G+H+I+J+K</t>
  </si>
  <si>
    <t>Liquido
Pagable</t>
  </si>
  <si>
    <t>Firmas</t>
  </si>
  <si>
    <t>AUXILIAR BONO DE ANTIGÜEDAD</t>
  </si>
  <si>
    <t>TABLA BONO DE ANTIGÜEDAD</t>
  </si>
  <si>
    <t>%</t>
  </si>
  <si>
    <t>Días</t>
  </si>
  <si>
    <t>Años</t>
  </si>
  <si>
    <t>Rendondeo</t>
  </si>
  <si>
    <t>Rango</t>
  </si>
  <si>
    <t>Bs.</t>
  </si>
  <si>
    <t>SC</t>
  </si>
  <si>
    <t>M</t>
  </si>
  <si>
    <t>Coordinador de Operaciones y Logistica</t>
  </si>
  <si>
    <t>F</t>
  </si>
  <si>
    <t>2-4 Años</t>
  </si>
  <si>
    <t>BOLIVIANA</t>
  </si>
  <si>
    <t>Tecnico Mecánico de Taller</t>
  </si>
  <si>
    <t>5-7 Años</t>
  </si>
  <si>
    <t>Supervisor de Operaciones</t>
  </si>
  <si>
    <t>8-10 Años</t>
  </si>
  <si>
    <t>Tecnico de Taller</t>
  </si>
  <si>
    <t>11-14 Años</t>
  </si>
  <si>
    <t>Gerente General</t>
  </si>
  <si>
    <t>15-19 Años</t>
  </si>
  <si>
    <t>CBBA</t>
  </si>
  <si>
    <t>Engines &amp; Monitoring Control System Engineer</t>
  </si>
  <si>
    <t>20-24 Años</t>
  </si>
  <si>
    <t>Asistente Adm. Financiera</t>
  </si>
  <si>
    <t>&gt; 25 Años</t>
  </si>
  <si>
    <t>OR</t>
  </si>
  <si>
    <t>Ing. Atencion al cliente</t>
  </si>
  <si>
    <t xml:space="preserve">TOTAL GENERAL </t>
  </si>
  <si>
    <t>Revisado por: Freddy Ledezma Zeballos</t>
  </si>
  <si>
    <t>EMPRESA</t>
  </si>
  <si>
    <r>
      <t xml:space="preserve">Nro. De Empleador Ministerio de Trabajo: </t>
    </r>
    <r>
      <rPr>
        <b/>
        <sz val="12"/>
        <rFont val="Arial"/>
        <family val="2"/>
      </rPr>
      <t>1234567024-07</t>
    </r>
  </si>
  <si>
    <r>
      <t xml:space="preserve">Nro. Patronal: </t>
    </r>
    <r>
      <rPr>
        <b/>
        <sz val="12"/>
        <rFont val="Arial"/>
        <family val="2"/>
      </rPr>
      <t>997-7-930</t>
    </r>
  </si>
  <si>
    <t>JORGE</t>
  </si>
  <si>
    <t>VALLEJOS</t>
  </si>
  <si>
    <t>1.-</t>
  </si>
  <si>
    <t>3.-</t>
  </si>
  <si>
    <t>4.-</t>
  </si>
  <si>
    <t>5.-</t>
  </si>
  <si>
    <t>AL:</t>
  </si>
  <si>
    <t/>
  </si>
  <si>
    <t>encargada del rc iva, hayan tomado las medidas para</t>
  </si>
  <si>
    <t xml:space="preserve">mitigar esta contingencia y no les influya, y podrian </t>
  </si>
  <si>
    <t>presentar en los plazos.</t>
  </si>
  <si>
    <r>
      <t>La planilla tributaria consolidada a junio 2020</t>
    </r>
    <r>
      <rPr>
        <b/>
        <i/>
        <sz val="16"/>
        <color theme="0"/>
        <rFont val="Times New Roman"/>
        <family val="1"/>
      </rPr>
      <t>??</t>
    </r>
  </si>
  <si>
    <t>El espíritu de la norma es aliviar al dependiente de esta</t>
  </si>
  <si>
    <t>Es posible que algunas empresas a travez del area</t>
  </si>
  <si>
    <t>Otros AR que puedan presentar en plazo, podran hacerlo.</t>
  </si>
  <si>
    <t>(para Abril/20)</t>
  </si>
  <si>
    <t>(para Mayo/20)</t>
  </si>
  <si>
    <t>(para Junio/20)</t>
  </si>
  <si>
    <t>REGIMEN COMPLEMENTARIO DEL IVA - AGENTES DE RETENCION</t>
  </si>
  <si>
    <t>FORMULARIO: 608 VERSIÓN: 3</t>
  </si>
  <si>
    <t>(A) CABECERA DE LA DECLARACION JURADA</t>
  </si>
  <si>
    <t>Numero de Orden</t>
  </si>
  <si>
    <t>NIT</t>
  </si>
  <si>
    <t>Mes</t>
  </si>
  <si>
    <t>Fecha</t>
  </si>
  <si>
    <t>DDJJ ORIGINAL</t>
  </si>
  <si>
    <t>DDJJ Original</t>
  </si>
  <si>
    <t>(B) DATOS BASICOS DE LA DECLARACION JURADA QUE RECTIFICA</t>
  </si>
  <si>
    <t>Nro. de Resolución Administrativa</t>
  </si>
  <si>
    <t>Formulario</t>
  </si>
  <si>
    <t>Nro. de Orden a Rectificar</t>
  </si>
  <si>
    <t>(C) DETERMINACIÓN DEL SALDO A FAVOR DEL FISCO O DEL CONTRIBUYENTE</t>
  </si>
  <si>
    <t>Dos (2) salarios mínimos nacionales no imponibles</t>
  </si>
  <si>
    <t>Importe sujeto a impuesto (Base Imponible) según planilla salarial</t>
  </si>
  <si>
    <t>Impuesto RC - IVA según planilla salarial</t>
  </si>
  <si>
    <t>13% de dos (2) Salarios Mínimos Nacionales</t>
  </si>
  <si>
    <t>Impuesto Neto RC-IVA según planilla salarial</t>
  </si>
  <si>
    <t>Form 110 (C693); 13 % de Facturas presentadas</t>
  </si>
  <si>
    <t>Saldo a favor del Fisco según planilla salarial</t>
  </si>
  <si>
    <t>Saldo a favor del Dependiente según planilla salarial</t>
  </si>
  <si>
    <t>Saldo a favor de los dependientes periodo anterior</t>
  </si>
  <si>
    <t>Mantenimiento de Valor del saldo a favor del dependiente del periodo anterior</t>
  </si>
  <si>
    <t>l</t>
  </si>
  <si>
    <t>Saldo del periodo anterior actualizado (C635 + C648); Si &gt; 0</t>
  </si>
  <si>
    <t>m</t>
  </si>
  <si>
    <t>Impuesto RC-IVA retenido según planilla salarial</t>
  </si>
  <si>
    <t>o</t>
  </si>
  <si>
    <t>Saldo de Crédito Fiscal a favor del dependiente para el mes siguiente según planilla salarial</t>
  </si>
  <si>
    <t>Retención RC-IVA de pagos en el periodo a Desvinculados y otros</t>
  </si>
  <si>
    <t>(D) SALDOS DESPUÉS DE LA COMPENSACIÓN DE PAGOS A CUENTA</t>
  </si>
  <si>
    <t>Pagos a cuenta realizados en F-608 Original y/o rectificatoria y/o en Boletas de Pago; por el periodo fiscal que se liquida en Planilla Tributaria.</t>
  </si>
  <si>
    <t>Pagos a cuenta realizados en F-608 Original y/o rectificatoria y/o en Boletas de Pago; por el periodo fiscal que se liquida a Desvinculados y otros.</t>
  </si>
  <si>
    <t>Saldo de pagos disponible del periodo anterior a compensar (C747 del F-608 del periodo anterior)</t>
  </si>
  <si>
    <t>Saldo de pagos disponible después de la compensación ((C622 + C640-C909);Si &gt; 0)+((C623-C748);Si&gt;0)</t>
  </si>
  <si>
    <t>Saldo de impuesto a favor del Fisco ((C909-C622-C640);Si&gt;0)+((C748-C623);Si&gt;0)</t>
  </si>
  <si>
    <t>(E) LIQUIDACIÓN DEL ADEUDO TRIBUTARIO, MULTAS Y SANCIONES</t>
  </si>
  <si>
    <t>Actualización de Valor sobre el monto declarado en la casilla (C996)</t>
  </si>
  <si>
    <t>Intereses sobre el Tributo Omitido Actualizado</t>
  </si>
  <si>
    <t>Multa por Incumplimiento a Deberes Formales por presentación Fuera de Plazo</t>
  </si>
  <si>
    <t>Saldo Definitivo a Favor del Fisco (C996+C925+C938+C954); Si&gt;0</t>
  </si>
  <si>
    <t>(F)COMPENSACIÓN O PAGO DE LA DEUDA TRIBUTARIA (EN EFECTIVO Y/O VALORES Y/O SIGMA)</t>
  </si>
  <si>
    <t>Saldo definitivo a favor del fisco (C955)</t>
  </si>
  <si>
    <t>Saldo de pagos disponible para el periodo siguiente (C643)(Se traslada al siguiente periodo a la casilla C640 del F-608)</t>
  </si>
  <si>
    <t>Imputación de crédito en valores (Sujeto a verificación y confirmación por parte del S.I.N.)</t>
  </si>
  <si>
    <t>Pago en efectivo (C746 - C677); Si &gt; 0</t>
  </si>
  <si>
    <t>Total número de dependientes</t>
  </si>
  <si>
    <t>Total de Formularios 110 recibidos en el periodo que se liquida</t>
  </si>
  <si>
    <t>DATOS PAGO SIGMA</t>
  </si>
  <si>
    <t>Nro. C-31</t>
  </si>
  <si>
    <t>N° de Cbte. de pago</t>
  </si>
  <si>
    <t>Fecha de confirmación de pago</t>
  </si>
  <si>
    <t>Importe pagado vía SIGMA/SIGEP</t>
  </si>
  <si>
    <t>X</t>
  </si>
  <si>
    <t>COD.</t>
  </si>
  <si>
    <t>Sin F-110</t>
  </si>
  <si>
    <t>Con F-110</t>
  </si>
  <si>
    <t>carga de trabajo que actualmente no se puede cumplir.</t>
  </si>
  <si>
    <t>Volver --&gt;</t>
  </si>
  <si>
    <t>Habida cuenta que algunos sectores estan operando normalmente</t>
  </si>
  <si>
    <t xml:space="preserve">la Planilla Tributaria V.2, </t>
  </si>
  <si>
    <t>RND 1019_10</t>
  </si>
  <si>
    <t xml:space="preserve">Formularios 110 V.3 </t>
  </si>
  <si>
    <t>Saldos Dep. - Fisco</t>
  </si>
  <si>
    <r>
      <t xml:space="preserve">los periodos </t>
    </r>
    <r>
      <rPr>
        <b/>
        <i/>
        <u/>
        <sz val="11"/>
        <color rgb="FF002060"/>
        <rFont val="Times New Roman"/>
        <family val="1"/>
      </rPr>
      <t>abril y mayo 2020</t>
    </r>
    <r>
      <rPr>
        <i/>
        <sz val="11"/>
        <color theme="1"/>
        <rFont val="Times New Roman"/>
        <family val="1"/>
      </rPr>
      <t xml:space="preserve"> consolidada al mes de junio.</t>
    </r>
  </si>
  <si>
    <t>Deps. F-110 / Saldos Dep. - Fisco</t>
  </si>
  <si>
    <t>Voluntario (Dep. hasta 20 c/mes)</t>
  </si>
  <si>
    <r>
      <t>Prorroga Abril y Mayo - AT</t>
    </r>
    <r>
      <rPr>
        <b/>
        <i/>
        <sz val="14"/>
        <color rgb="FFFF0000"/>
        <rFont val="Times New Roman"/>
        <family val="1"/>
      </rPr>
      <t>???</t>
    </r>
  </si>
  <si>
    <t>•RND 1020_06</t>
  </si>
  <si>
    <t>Condición para presentar:</t>
  </si>
  <si>
    <t>Prórroga</t>
  </si>
  <si>
    <t>Abril y Mayo - RND 1020_09</t>
  </si>
  <si>
    <t>Coment: Vale decir los mes de Feb y Mar -2020</t>
  </si>
  <si>
    <t>Junio</t>
  </si>
  <si>
    <t>???</t>
  </si>
  <si>
    <t>Hasta</t>
  </si>
  <si>
    <t>Los AR (RC IVA) envian:</t>
  </si>
  <si>
    <t>COD. F-608 v3</t>
  </si>
  <si>
    <t xml:space="preserve">1 opción </t>
  </si>
  <si>
    <t>DDJJ-R F608 Abr y May</t>
  </si>
  <si>
    <t>DDJJ F608 Jun</t>
  </si>
  <si>
    <t xml:space="preserve">2 opción </t>
  </si>
  <si>
    <t>Cons. F-608 Jun/20 (Abr,May y Jun)</t>
  </si>
  <si>
    <t>DDJJ F608 Abr y May Vcto.</t>
  </si>
  <si>
    <t>Consolidado</t>
  </si>
  <si>
    <t>PLANILLA TRIBUTARIA - CONSOLIDADA opción 1</t>
  </si>
  <si>
    <t>PLANILLA TRIBUTARIA - CONSOLIDADA opción 2</t>
  </si>
  <si>
    <t>A CONSIDERAR:</t>
  </si>
  <si>
    <t>CONSOLIDADO</t>
  </si>
  <si>
    <t>ir a Ejemplo --&gt;</t>
  </si>
  <si>
    <t>Abr/may</t>
  </si>
  <si>
    <t>Vcto. 20.6.2020</t>
  </si>
  <si>
    <t>mañana</t>
  </si>
  <si>
    <t>Ejem.-</t>
  </si>
  <si>
    <t>Ejemplo para fechas de presentación:</t>
  </si>
  <si>
    <t>prórroga</t>
  </si>
  <si>
    <t>De prorrogar.</t>
  </si>
  <si>
    <r>
      <t>1. </t>
    </r>
    <r>
      <rPr>
        <i/>
        <sz val="13"/>
        <color rgb="FF0070C0"/>
        <rFont val="Times New Roman"/>
        <family val="1"/>
      </rPr>
      <t>f.</t>
    </r>
    <r>
      <rPr>
        <i/>
        <sz val="13"/>
        <color rgb="FF000000"/>
        <rFont val="Times New Roman"/>
        <family val="1"/>
      </rPr>
      <t> Continuación de algo por un tiempo determinado.</t>
    </r>
  </si>
  <si>
    <r>
      <t>2. </t>
    </r>
    <r>
      <rPr>
        <i/>
        <sz val="13"/>
        <color rgb="FFA6A6A6"/>
        <rFont val="Times New Roman"/>
        <family val="1"/>
      </rPr>
      <t>f.</t>
    </r>
    <r>
      <rPr>
        <i/>
        <sz val="13"/>
        <color rgb="FF000000"/>
        <rFont val="Times New Roman"/>
        <family val="1"/>
      </rPr>
      <t> Plazo por el cual se continúa o prorroga algo.</t>
    </r>
  </si>
  <si>
    <r>
      <t>4. </t>
    </r>
    <r>
      <rPr>
        <i/>
        <sz val="13"/>
        <color rgb="FFA6A6A6"/>
        <rFont val="Times New Roman"/>
        <family val="1"/>
      </rPr>
      <t>f.</t>
    </r>
    <r>
      <rPr>
        <i/>
        <sz val="13"/>
        <color rgb="FF000000"/>
        <rFont val="Times New Roman"/>
        <family val="1"/>
      </rPr>
      <t> Aplazamiento del servicio militar que se concede, </t>
    </r>
  </si>
  <si>
    <t xml:space="preserve">        de acuerdo a la legislación vigente, a losllamados a este servicio.</t>
  </si>
  <si>
    <r>
      <t>3. </t>
    </r>
    <r>
      <rPr>
        <i/>
        <sz val="13"/>
        <color rgb="FFA6A6A6"/>
        <rFont val="Times New Roman"/>
        <family val="1"/>
      </rPr>
      <t>f.</t>
    </r>
    <r>
      <rPr>
        <i/>
        <sz val="13"/>
        <color rgb="FF000000"/>
        <rFont val="Times New Roman"/>
        <family val="1"/>
      </rPr>
      <t> Período suplementario de juego, de diferente duración </t>
    </r>
  </si>
  <si>
    <t xml:space="preserve">           según los deportes, que se añade altiempo establecido cuando existe un empate.</t>
  </si>
  <si>
    <t xml:space="preserve">  &lt; --- volver</t>
  </si>
  <si>
    <t>F_Vcto.</t>
  </si>
  <si>
    <t>F_Pres.</t>
  </si>
  <si>
    <t>F_Facts. Vcto.</t>
  </si>
  <si>
    <t>F_Facts. Prorr.</t>
  </si>
  <si>
    <t>(Con prórroga)</t>
  </si>
  <si>
    <t>hoy día</t>
  </si>
  <si>
    <r>
      <t xml:space="preserve">Fecha de presentación del </t>
    </r>
    <r>
      <rPr>
        <b/>
        <i/>
        <sz val="18"/>
        <color rgb="FFFF0000"/>
        <rFont val="Calibri"/>
        <family val="2"/>
        <scheme val="minor"/>
      </rPr>
      <t>F-110</t>
    </r>
  </si>
  <si>
    <t>F_Prorr.</t>
  </si>
  <si>
    <t>Fijo</t>
  </si>
  <si>
    <t>Varia</t>
  </si>
  <si>
    <t xml:space="preserve">  &lt;---Volver</t>
  </si>
  <si>
    <t>tales como el sector de salud, cadena alimenticia. Otros.</t>
  </si>
  <si>
    <t>Para que sea consolidado la plla. T.</t>
  </si>
  <si>
    <t>No envio Plla. T. en Abr/May + F110</t>
  </si>
  <si>
    <t>DDJJ F608 Abr y May Vcto. (NO R)</t>
  </si>
  <si>
    <t>C/pllas. T. indep. + F110 c/m</t>
  </si>
  <si>
    <t>pero con el DS 3890, esto cambio.</t>
  </si>
  <si>
    <t>Artículo 3.</t>
  </si>
  <si>
    <t>Plla. T. consolidada Jun/20</t>
  </si>
  <si>
    <t>pero con Pllas T. Indep + F110 c/mes (Auxs.)</t>
  </si>
  <si>
    <t>Notas Fiscales o Documentos Equivalentes debe ser imputado en el período fiscal al que</t>
  </si>
  <si>
    <t>corresponda la fecha de emisión del documento.</t>
  </si>
  <si>
    <t>si el 20 es sabado?</t>
  </si>
  <si>
    <t>dia sgte hábil</t>
  </si>
  <si>
    <t>RECOMENDACIONES:</t>
  </si>
  <si>
    <t>2.-</t>
  </si>
  <si>
    <t>6.-</t>
  </si>
  <si>
    <t>Prorroga no quiere decir que se eximan de la obligación solo extiende el plazo</t>
  </si>
  <si>
    <t>7.-</t>
  </si>
  <si>
    <t>RESUMEN</t>
  </si>
  <si>
    <t>CON EL VCTO DE JUNIO/2020</t>
  </si>
  <si>
    <t>OBLIGACIÓN FORMAL</t>
  </si>
  <si>
    <t>ENVIO CONSOLIDADO</t>
  </si>
  <si>
    <t>PERIODO / MES</t>
  </si>
  <si>
    <t>OBLIGACIÓN IMPOSITIVA</t>
  </si>
  <si>
    <t>Incorporados  &amp; Desvinculados (Abr/May) ???</t>
  </si>
  <si>
    <t>8.-</t>
  </si>
  <si>
    <t>Fuente:</t>
  </si>
  <si>
    <t>https://eldeber.com.bo/176095_trabajadores-dependientes-pueden-presentar-el-formulario-110-del-rc-iva-hasta-el-20-de-junio</t>
  </si>
  <si>
    <r>
      <t>“El Formulario 110 se elaborará con fecha de presentación que corresponda al periodo declarado, es decir, </t>
    </r>
    <r>
      <rPr>
        <b/>
        <i/>
        <sz val="14"/>
        <color rgb="FF1B1B1B"/>
        <rFont val="Times New Roman"/>
        <family val="1"/>
      </rPr>
      <t>debe consignar como fecha de presentación hasta el 20 de los meses de abril, mayo y junio</t>
    </r>
    <r>
      <rPr>
        <i/>
        <sz val="14"/>
        <color rgb="FF1B1B1B"/>
        <rFont val="Times New Roman"/>
        <family val="1"/>
      </rPr>
      <t>, mediante el aplicativo ‘Facilito’ se </t>
    </r>
    <r>
      <rPr>
        <b/>
        <i/>
        <sz val="14"/>
        <color rgb="FF1B1B1B"/>
        <rFont val="Times New Roman"/>
        <family val="1"/>
      </rPr>
      <t>validará los 120 días de las facturas </t>
    </r>
    <r>
      <rPr>
        <i/>
        <sz val="14"/>
        <color rgb="FF1B1B1B"/>
        <rFont val="Times New Roman"/>
        <family val="1"/>
      </rPr>
      <t>con la fecha consignada en el Formulario 110, al momento del llenado. La</t>
    </r>
    <r>
      <rPr>
        <b/>
        <i/>
        <sz val="14"/>
        <color rgb="FF1B1B1B"/>
        <rFont val="Times New Roman"/>
        <family val="1"/>
      </rPr>
      <t> entrega al empleador podrá ser hasta el 20/06/2020 de manera física”</t>
    </r>
    <r>
      <rPr>
        <i/>
        <sz val="14"/>
        <color rgb="FF1B1B1B"/>
        <rFont val="Times New Roman"/>
        <family val="1"/>
      </rPr>
      <t>, añadió la entidad impositiva.</t>
    </r>
  </si>
  <si>
    <t xml:space="preserve">  --&gt; Volver</t>
  </si>
  <si>
    <r>
      <t>El envío de la </t>
    </r>
    <r>
      <rPr>
        <b/>
        <i/>
        <sz val="14"/>
        <color rgb="FF1B1B1B"/>
        <rFont val="Times New Roman"/>
        <family val="1"/>
      </rPr>
      <t>planilla tributaria de abril mayo y junio </t>
    </r>
    <r>
      <rPr>
        <i/>
        <sz val="14"/>
        <color rgb="FF1B1B1B"/>
        <rFont val="Times New Roman"/>
        <family val="1"/>
      </rPr>
      <t>de 2020 se podrá presentar, una vez consolidada, según último dígito del Número de Identificación Tributaria (NIT).</t>
    </r>
  </si>
  <si>
    <r>
      <rPr>
        <b/>
        <i/>
        <sz val="11"/>
        <color theme="1"/>
        <rFont val="Times New Roman"/>
        <family val="1"/>
      </rPr>
      <t>Artículo 1.-</t>
    </r>
    <r>
      <rPr>
        <i/>
        <sz val="11"/>
        <color theme="1"/>
        <rFont val="Times New Roman"/>
        <family val="1"/>
      </rPr>
      <t xml:space="preserve"> Prorrogar excepcionalmente </t>
    </r>
    <r>
      <rPr>
        <b/>
        <i/>
        <sz val="11"/>
        <color rgb="FFFF0000"/>
        <rFont val="Times New Roman"/>
        <family val="1"/>
      </rPr>
      <t>hasta</t>
    </r>
    <r>
      <rPr>
        <i/>
        <sz val="11"/>
        <color theme="1"/>
        <rFont val="Times New Roman"/>
        <family val="1"/>
      </rPr>
      <t xml:space="preserve"> el 20 de junio 2020, la presentación al empleador del </t>
    </r>
    <r>
      <rPr>
        <b/>
        <i/>
        <sz val="11"/>
        <color rgb="FFFF0000"/>
        <rFont val="Times New Roman"/>
        <family val="1"/>
      </rPr>
      <t>FORM-110</t>
    </r>
    <r>
      <rPr>
        <i/>
        <sz val="11"/>
        <color theme="1"/>
        <rFont val="Times New Roman"/>
        <family val="1"/>
      </rPr>
      <t xml:space="preserve"> v.3 de los Sujetos Pasivos del RC-IVA Dependientes, tanto de instituciones públicas y privadas, por los periodos </t>
    </r>
    <r>
      <rPr>
        <b/>
        <i/>
        <u/>
        <sz val="11"/>
        <color rgb="FF002060"/>
        <rFont val="Times New Roman"/>
        <family val="1"/>
      </rPr>
      <t>abril y mayo</t>
    </r>
    <r>
      <rPr>
        <i/>
        <sz val="11"/>
        <color theme="1"/>
        <rFont val="Times New Roman"/>
        <family val="1"/>
      </rPr>
      <t xml:space="preserve"> 2020, </t>
    </r>
    <r>
      <rPr>
        <i/>
        <sz val="11"/>
        <color rgb="FFFF0000"/>
        <rFont val="Times New Roman"/>
        <family val="1"/>
      </rPr>
      <t>conforme a procedimiento establecido</t>
    </r>
    <r>
      <rPr>
        <i/>
        <sz val="11"/>
        <color theme="1"/>
        <rFont val="Times New Roman"/>
        <family val="1"/>
      </rPr>
      <t>.</t>
    </r>
  </si>
  <si>
    <r>
      <rPr>
        <b/>
        <i/>
        <sz val="11"/>
        <color theme="1"/>
        <rFont val="Times New Roman"/>
        <family val="1"/>
      </rPr>
      <t>Artículo 2.-</t>
    </r>
    <r>
      <rPr>
        <i/>
        <sz val="11"/>
        <color theme="1"/>
        <rFont val="Times New Roman"/>
        <family val="1"/>
      </rPr>
      <t xml:space="preserve"> En caso de que como consecuencia de lo dispuesto en el Artículo 1 de la presente Resolución, el sujeto pasivo </t>
    </r>
    <r>
      <rPr>
        <b/>
        <i/>
        <u/>
        <sz val="11"/>
        <color rgb="FFC00000"/>
        <rFont val="Times New Roman"/>
        <family val="1"/>
      </rPr>
      <t>mantenga saldos a favor del fisco</t>
    </r>
    <r>
      <rPr>
        <i/>
        <sz val="11"/>
        <color theme="1"/>
        <rFont val="Times New Roman"/>
        <family val="1"/>
      </rPr>
      <t xml:space="preserve"> por los periodos abril y/o mayo de 2020, </t>
    </r>
    <r>
      <rPr>
        <i/>
        <sz val="11"/>
        <color rgb="FFFF0000"/>
        <rFont val="Times New Roman"/>
        <family val="1"/>
      </rPr>
      <t>estos serán retenidos de su haber correspondiente al mes de junio de 2020</t>
    </r>
    <r>
      <rPr>
        <i/>
        <sz val="11"/>
        <color theme="1"/>
        <rFont val="Times New Roman"/>
        <family val="1"/>
      </rPr>
      <t>,</t>
    </r>
    <r>
      <rPr>
        <b/>
        <i/>
        <sz val="11"/>
        <color rgb="FFC00000"/>
        <rFont val="Times New Roman"/>
        <family val="1"/>
      </rPr>
      <t xml:space="preserve"> </t>
    </r>
    <r>
      <rPr>
        <b/>
        <i/>
        <u/>
        <sz val="11"/>
        <color rgb="FFC00000"/>
        <rFont val="Times New Roman"/>
        <family val="1"/>
      </rPr>
      <t>lo que deberá constar en la planilla tributaria consolidada a junio 2020</t>
    </r>
    <r>
      <rPr>
        <i/>
        <sz val="11"/>
        <color theme="1"/>
        <rFont val="Times New Roman"/>
        <family val="1"/>
      </rPr>
      <t>.</t>
    </r>
  </si>
  <si>
    <r>
      <rPr>
        <b/>
        <i/>
        <sz val="11"/>
        <color theme="1"/>
        <rFont val="Times New Roman"/>
        <family val="1"/>
      </rPr>
      <t>Séptima.-</t>
    </r>
    <r>
      <rPr>
        <i/>
        <sz val="11"/>
        <color theme="1"/>
        <rFont val="Times New Roman"/>
        <family val="1"/>
      </rPr>
      <t xml:space="preserve"> Sin perjuicio de lo dispuesto en el Artículo 5 de la RND No 102000000006 de 27 de</t>
    </r>
  </si>
  <si>
    <t>DE MANERA DESAGREGADA O</t>
  </si>
  <si>
    <t>INDEPENDIENTE.</t>
  </si>
  <si>
    <t>PROCEDIMIENTO PARA LA APLICACIÓN DEL D.S Nº 3890</t>
  </si>
  <si>
    <t xml:space="preserve">y declaración del Form. 608 V.3 </t>
  </si>
  <si>
    <t>Deberes Formales</t>
  </si>
  <si>
    <r>
      <t xml:space="preserve">serán válidas siempre que la fecha de emisión no sea mayor a ciento veinte (120) días calendario </t>
    </r>
    <r>
      <rPr>
        <i/>
        <u/>
        <sz val="11"/>
        <color rgb="FFFF0000"/>
        <rFont val="Times New Roman"/>
        <family val="1"/>
      </rPr>
      <t>anteriores a la fecha de su presentación al empleador</t>
    </r>
    <r>
      <rPr>
        <i/>
        <sz val="11"/>
        <color theme="1"/>
        <rFont val="Times New Roman"/>
        <family val="1"/>
      </rPr>
      <t>.</t>
    </r>
  </si>
  <si>
    <t>RND 10-30-15</t>
  </si>
  <si>
    <t>F-110 v.3, MÓDULOS FORM. ELECTRONICO F.110 v.3 FACILITO, AR Y APLICATIVO QRQUINCHO</t>
  </si>
  <si>
    <r>
      <rPr>
        <b/>
        <i/>
        <sz val="11"/>
        <color theme="1"/>
        <rFont val="Times New Roman"/>
        <family val="1"/>
      </rPr>
      <t>Artículo 6.</t>
    </r>
    <r>
      <rPr>
        <i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(Contribuyentes en relación de dependencia).-</t>
    </r>
    <r>
      <rPr>
        <i/>
        <sz val="11"/>
        <color theme="1"/>
        <rFont val="Times New Roman"/>
        <family val="1"/>
      </rPr>
      <t xml:space="preserve"> El tratamiento para los contribuyentes en relación de dependencia será el siguiente:</t>
    </r>
  </si>
  <si>
    <t>(Texto Ordenado Vigente) y como regla general, el Crédito Fiscal respaldado en las Facturas,</t>
  </si>
  <si>
    <t>Para el caso del RC-IVA el Crédito Fiscal de la Factura, Nota Fiscal o Documento</t>
  </si>
  <si>
    <t>Equivalente, debe ser imputado considerando que su fecha de emisión no sea mayor a</t>
  </si>
  <si>
    <t>(RC-IVA Dependientes).</t>
  </si>
  <si>
    <t xml:space="preserve">SISTEMA DE FACTURACIÓN VIRTUAL </t>
  </si>
  <si>
    <t>Artículo 55. (Imputación del Crédito Fiscal).-</t>
  </si>
  <si>
    <r>
      <t xml:space="preserve"> I. </t>
    </r>
    <r>
      <rPr>
        <i/>
        <sz val="11"/>
        <color rgb="FF000000"/>
        <rFont val="Times New Roman"/>
        <family val="1"/>
      </rPr>
      <t>Conforme lo previsto por la Ley N° 843</t>
    </r>
  </si>
  <si>
    <t>RND 10-21-16</t>
  </si>
  <si>
    <t>CAPÍTULO VII</t>
  </si>
  <si>
    <t>COMPENSACIONES CON EL IMPUESTO AL VALOR AGREGADO</t>
  </si>
  <si>
    <r>
      <t>ARTÍCULO 31°.-</t>
    </r>
    <r>
      <rPr>
        <i/>
        <sz val="11"/>
        <rFont val="Times New Roman"/>
        <family val="1"/>
      </rPr>
      <t xml:space="preserve"> Contra el impuesto determinado por aplicación de lo dispuesto en el Artículo 30°, los contribuyentes podrán imputar como pago a cuenta, la tasa que corresponda sobre las compras de bienes y servicios, contratos de obra o toda otra prestación o insumo de cualquier naturaleza, </t>
    </r>
  </si>
  <si>
    <t xml:space="preserve">en la forma, proporción y condiciones que establezca la reglamentación, </t>
  </si>
  <si>
    <t>Ley 843</t>
  </si>
  <si>
    <t xml:space="preserve">la cual podrá incrementar el mínimo no imponible sujeto a deducción que se establece en el Art. 26°, </t>
  </si>
  <si>
    <t xml:space="preserve">hasta un máximo de seis (6) SMN. </t>
  </si>
  <si>
    <t>Artículo 8. Inc c)</t>
  </si>
  <si>
    <t xml:space="preserve"> ---&gt;  ver DS 21531 RC IVA</t>
  </si>
  <si>
    <t>DS 21531 -  Reglamento al RC-IVA</t>
  </si>
  <si>
    <t>&lt;-- Volver</t>
  </si>
  <si>
    <r>
      <t xml:space="preserve">marzo de 2020, se prorroga el plazo para el envío de la </t>
    </r>
    <r>
      <rPr>
        <b/>
        <i/>
        <u/>
        <sz val="11"/>
        <color rgb="FF002060"/>
        <rFont val="Times New Roman"/>
        <family val="1"/>
      </rPr>
      <t>Planilla Tributaria v.2</t>
    </r>
    <r>
      <rPr>
        <i/>
        <sz val="11"/>
        <color theme="1"/>
        <rFont val="Times New Roman"/>
        <family val="1"/>
      </rPr>
      <t xml:space="preserve"> correspondiente a</t>
    </r>
  </si>
  <si>
    <t xml:space="preserve"> &lt; - - Volver</t>
  </si>
  <si>
    <t>Keep going..</t>
  </si>
  <si>
    <r>
      <rPr>
        <b/>
        <i/>
        <sz val="11"/>
        <color rgb="FFFF0000"/>
        <rFont val="Times New Roman"/>
        <family val="1"/>
      </rPr>
      <t>ciento veinte (120) días anteriores</t>
    </r>
    <r>
      <rPr>
        <i/>
        <sz val="11"/>
        <color rgb="FF000000"/>
        <rFont val="Times New Roman"/>
        <family val="1"/>
      </rPr>
      <t xml:space="preserve"> a la fecha de finalización del trimestre que se declara</t>
    </r>
  </si>
  <si>
    <r>
      <t xml:space="preserve">(RC-IVA-Contribuyentes Directos) o </t>
    </r>
    <r>
      <rPr>
        <b/>
        <i/>
        <sz val="11"/>
        <color rgb="FFFF0000"/>
        <rFont val="Times New Roman"/>
        <family val="1"/>
      </rPr>
      <t>a la fecha de presentación del formulario al empleador</t>
    </r>
  </si>
  <si>
    <t>ARTÍCULO 2.- (MODIFICACIONES).</t>
  </si>
  <si>
    <t>DS 3890 - Creditos Fiscales del RC IVA desvinculados (Modif Art. 8 DS21531)</t>
  </si>
  <si>
    <t>S/g Se indica a continuación:</t>
  </si>
  <si>
    <t>Los empleadores procederán</t>
  </si>
  <si>
    <t>Art 8. DS21531</t>
  </si>
  <si>
    <t>II. Se modifica el inciso e) del Artículo 8 del Decreto Supremo N° 21531, de 27 de febrero de 1987, con el siguiente texto:</t>
  </si>
  <si>
    <t>dígito del NIT, de acuerdo a la siguiente distribución correlativa:</t>
  </si>
  <si>
    <t>del mes siguiente al que corresponden las retenciones.”</t>
  </si>
  <si>
    <t>desde el 0 al 9, desde el dia 13 al 22.</t>
  </si>
  <si>
    <r>
      <t xml:space="preserve">“e) El agente de retención </t>
    </r>
    <r>
      <rPr>
        <b/>
        <i/>
        <sz val="11"/>
        <color rgb="FFFF0000"/>
        <rFont val="Times New Roman"/>
        <family val="1"/>
      </rPr>
      <t>presentará una declaración jurada mensual</t>
    </r>
    <r>
      <rPr>
        <i/>
        <sz val="11"/>
        <color theme="1"/>
        <rFont val="Times New Roman"/>
        <family val="1"/>
      </rPr>
      <t xml:space="preserve"> de los</t>
    </r>
    <r>
      <rPr>
        <b/>
        <i/>
        <u/>
        <sz val="11"/>
        <color rgb="FF0070C0"/>
        <rFont val="Times New Roman"/>
        <family val="1"/>
      </rPr>
      <t xml:space="preserve"> impuestos retenidos</t>
    </r>
    <r>
      <rPr>
        <i/>
        <sz val="11"/>
        <color theme="1"/>
        <rFont val="Times New Roman"/>
        <family val="1"/>
      </rPr>
      <t xml:space="preserve"> y/o </t>
    </r>
    <r>
      <rPr>
        <b/>
        <i/>
        <u/>
        <sz val="11"/>
        <color rgb="FF0070C0"/>
        <rFont val="Times New Roman"/>
        <family val="1"/>
      </rPr>
      <t>saldos a favor del contribuyente</t>
    </r>
    <r>
      <rPr>
        <i/>
        <sz val="11"/>
        <color theme="1"/>
        <rFont val="Times New Roman"/>
        <family val="1"/>
      </rPr>
      <t xml:space="preserve"> y pagará los montos retenidos, considerando el último</t>
    </r>
  </si>
  <si>
    <t xml:space="preserve"> --&gt; Ver DS 3890</t>
  </si>
  <si>
    <t>Volver ---&gt;</t>
  </si>
  <si>
    <t>NRO FACTURA</t>
  </si>
  <si>
    <t>NRO AUTORIZACION</t>
  </si>
  <si>
    <t>FECHA DIA/MES/AÑO</t>
  </si>
  <si>
    <t>IMPORTE DE LA COMPRA</t>
  </si>
  <si>
    <t>CODIGO DE CONTROL</t>
  </si>
  <si>
    <t>FACTURA ELECTRONICA</t>
  </si>
  <si>
    <t>10-01-2C-38-48</t>
  </si>
  <si>
    <t xml:space="preserve"> &lt; -- VOLVER</t>
  </si>
  <si>
    <t>NRO</t>
  </si>
  <si>
    <t>Volver ==&gt;</t>
  </si>
  <si>
    <t>EL DEBER</t>
  </si>
  <si>
    <t>por lo cual deben cumplir al nuevo vcto. (F-110v3, plla v2, F-608v3)</t>
  </si>
  <si>
    <t>ir a MEYF guía--&gt;</t>
  </si>
  <si>
    <t>Next --&gt;</t>
  </si>
  <si>
    <t>Next--&gt;</t>
  </si>
  <si>
    <t>boleta de sueldo -- &gt;</t>
  </si>
  <si>
    <t xml:space="preserve">   </t>
  </si>
  <si>
    <t>PAPELETA DE PAGO</t>
  </si>
  <si>
    <t>NOMBRE:</t>
  </si>
  <si>
    <t>CARGO</t>
  </si>
  <si>
    <t>FECHA DE ING:</t>
  </si>
  <si>
    <t>PERIODO:</t>
  </si>
  <si>
    <t>Sueldo Básico</t>
  </si>
  <si>
    <t>Bono de antigüedad</t>
  </si>
  <si>
    <t xml:space="preserve">Comisiones - Otros </t>
  </si>
  <si>
    <t>Total Ganado</t>
  </si>
  <si>
    <t>DESCUENTOS</t>
  </si>
  <si>
    <t>AFP'S</t>
  </si>
  <si>
    <t>Anticipos</t>
  </si>
  <si>
    <t>Otros</t>
  </si>
  <si>
    <t>Total Descuentos</t>
  </si>
  <si>
    <t>Saldo Iva para el siguiente mes Bs.</t>
  </si>
  <si>
    <t>Recibí Conforme</t>
  </si>
  <si>
    <t>EMPRESA "LEDEZMA" S.A.</t>
  </si>
  <si>
    <t>BOLIVIA</t>
  </si>
  <si>
    <t>RC - IVA (Mes de Abril)</t>
  </si>
  <si>
    <t>RC - IVA (Mes de Mayo)</t>
  </si>
  <si>
    <t>RC - IVA (Mes de Junio)</t>
  </si>
  <si>
    <t>AFP'S A.N.S SOLIDARIO 1%</t>
  </si>
  <si>
    <t>AFP'S A.N.S SOLIDARIO 5%</t>
  </si>
  <si>
    <t>AFP'S A.N.S SOLIDARIO 10%</t>
  </si>
  <si>
    <t>No envio del F-608 optimo, y si Envio F608 no R</t>
  </si>
  <si>
    <t>debe mostrar claramente el descuento del rc iva por mes</t>
  </si>
  <si>
    <t>NO descontar en plla. sys abr/may</t>
  </si>
  <si>
    <t>Descuento del rc iva en pla sys junio si corresponde de abr/may-2020</t>
  </si>
  <si>
    <t>Las boletas de pago de sueldos de los deps. del mes de jun/20</t>
  </si>
  <si>
    <t>La plla trib y F-110 de abr y may, reportar con vcto. de jun.</t>
  </si>
  <si>
    <t>Los F-110 se presenten x c/mes según sea abr y may.</t>
  </si>
  <si>
    <t>Presentar el F-608 (si tiene saldo dependientes) x c/mes en su vcto.</t>
  </si>
  <si>
    <t>Declarar el F-608 rect. abr / mayo, si saldos a favor del fisco</t>
  </si>
  <si>
    <t>EMPRESA "LEDEZMA" SA</t>
  </si>
  <si>
    <t xml:space="preserve">Otros Ingresos
</t>
  </si>
  <si>
    <t>Los incorporados  abr/may, se hace normal como se vio x c/mes</t>
  </si>
  <si>
    <t>9.-</t>
  </si>
  <si>
    <t>Los desvinculados en Abr/May  (15 días calend finiq.)</t>
  </si>
  <si>
    <t>Acuerdo entre Dep y AR, deposito gtia en dinero provisional</t>
  </si>
  <si>
    <t>o pres. F-110.</t>
  </si>
  <si>
    <t>Agente de INFO. Hasta Jun/20</t>
  </si>
  <si>
    <t>Plla. TRIB. Consolid. Hasta Jun/20</t>
  </si>
  <si>
    <r>
      <rPr>
        <b/>
        <i/>
        <sz val="11"/>
        <color theme="1"/>
        <rFont val="Times New Roman"/>
        <family val="1"/>
      </rPr>
      <t>Artículo 5.-</t>
    </r>
    <r>
      <rPr>
        <i/>
        <sz val="11"/>
        <color theme="1"/>
        <rFont val="Times New Roman"/>
        <family val="1"/>
      </rPr>
      <t xml:space="preserve"> Prorrogar hasta el 11 de mayo de 2020, el plazo para el cumplimiento de </t>
    </r>
    <r>
      <rPr>
        <b/>
        <i/>
        <u/>
        <sz val="11"/>
        <color rgb="FF002060"/>
        <rFont val="Times New Roman"/>
        <family val="1"/>
      </rPr>
      <t>obligaciones formales</t>
    </r>
    <r>
      <rPr>
        <i/>
        <sz val="11"/>
        <color theme="1"/>
        <rFont val="Times New Roman"/>
        <family val="1"/>
      </rPr>
      <t xml:space="preserve"> como envío del Libro de Compras y Ventas IVA, </t>
    </r>
    <r>
      <rPr>
        <b/>
        <i/>
        <sz val="11"/>
        <color rgb="FFFF0000"/>
        <rFont val="Times New Roman"/>
        <family val="1"/>
      </rPr>
      <t>Agentes de Información y otras</t>
    </r>
    <r>
      <rPr>
        <i/>
        <sz val="11"/>
        <color theme="1"/>
        <rFont val="Times New Roman"/>
        <family val="1"/>
      </rPr>
      <t xml:space="preserve"> establecidas en normativa específica, </t>
    </r>
    <r>
      <rPr>
        <i/>
        <u/>
        <sz val="11"/>
        <color rgb="FFFF0000"/>
        <rFont val="Times New Roman"/>
        <family val="1"/>
      </rPr>
      <t xml:space="preserve">con </t>
    </r>
    <r>
      <rPr>
        <b/>
        <i/>
        <u/>
        <sz val="11"/>
        <color rgb="FF0070C0"/>
        <rFont val="Times New Roman"/>
        <family val="1"/>
      </rPr>
      <t>vencimiento</t>
    </r>
    <r>
      <rPr>
        <i/>
        <u/>
        <sz val="11"/>
        <color rgb="FFFF0000"/>
        <rFont val="Times New Roman"/>
        <family val="1"/>
      </rPr>
      <t xml:space="preserve"> en los meses de marzo y abril de 2020</t>
    </r>
    <r>
      <rPr>
        <i/>
        <sz val="11"/>
        <color theme="1"/>
        <rFont val="Times New Roman"/>
        <family val="1"/>
      </rPr>
      <t>.</t>
    </r>
  </si>
  <si>
    <r>
      <rPr>
        <b/>
        <i/>
        <sz val="11"/>
        <color theme="1"/>
        <rFont val="Times New Roman"/>
        <family val="1"/>
      </rPr>
      <t>Artículo 1.-</t>
    </r>
    <r>
      <rPr>
        <i/>
        <sz val="11"/>
        <color theme="1"/>
        <rFont val="Times New Roman"/>
        <family val="1"/>
      </rPr>
      <t xml:space="preserve"> Prorrogar la </t>
    </r>
    <r>
      <rPr>
        <b/>
        <i/>
        <u/>
        <sz val="11"/>
        <color theme="1"/>
        <rFont val="Times New Roman"/>
        <family val="1"/>
      </rPr>
      <t>declaración</t>
    </r>
    <r>
      <rPr>
        <i/>
        <sz val="11"/>
        <color theme="1"/>
        <rFont val="Times New Roman"/>
        <family val="1"/>
      </rPr>
      <t xml:space="preserve"> y/o pago de obligaciones tributarias </t>
    </r>
    <r>
      <rPr>
        <b/>
        <i/>
        <u/>
        <sz val="11"/>
        <color theme="1"/>
        <rFont val="Times New Roman"/>
        <family val="1"/>
      </rPr>
      <t>mensuales</t>
    </r>
    <r>
      <rPr>
        <i/>
        <sz val="11"/>
        <color theme="1"/>
        <rFont val="Times New Roman"/>
        <family val="1"/>
      </rPr>
      <t xml:space="preserve"> de los periodos fiscales </t>
    </r>
    <r>
      <rPr>
        <b/>
        <i/>
        <sz val="11"/>
        <color rgb="FFFF0000"/>
        <rFont val="Times New Roman"/>
        <family val="1"/>
      </rPr>
      <t>febrero y marzo</t>
    </r>
    <r>
      <rPr>
        <i/>
        <sz val="11"/>
        <color theme="1"/>
        <rFont val="Times New Roman"/>
        <family val="1"/>
      </rPr>
      <t xml:space="preserve"> de 2020 hasta los vencimientos establecidos para el periodo fiscal abril 2020, en función al último digito de NIT</t>
    </r>
  </si>
  <si>
    <t>Coment: Feb y Mar/2020 con vcto. a Abr/20</t>
  </si>
  <si>
    <t>DDJJ y Pago de Imptos. Mensuales</t>
  </si>
  <si>
    <t xml:space="preserve">Otorgar prorroga F-608 y envio pllas no consolid. Sino junto con jun/20 </t>
  </si>
  <si>
    <t>las de abr/may.</t>
  </si>
  <si>
    <r>
      <t xml:space="preserve">Plla. TRIB. Consolidada </t>
    </r>
    <r>
      <rPr>
        <b/>
        <i/>
        <sz val="16"/>
        <color rgb="FFFF0000"/>
        <rFont val="Times New Roman"/>
        <family val="1"/>
      </rPr>
      <t xml:space="preserve"> ??</t>
    </r>
  </si>
  <si>
    <r>
      <t xml:space="preserve">F-608 v3 AR   </t>
    </r>
    <r>
      <rPr>
        <b/>
        <i/>
        <sz val="16"/>
        <color rgb="FFFF0000"/>
        <rFont val="Times New Roman"/>
        <family val="1"/>
      </rPr>
      <t>??</t>
    </r>
  </si>
  <si>
    <t>https://eldeber.com.bo/176359_central-obrera-analiza-propuesta-para-diferir-rc-iva-pero-no-incluye-el-credito-fiscal</t>
  </si>
  <si>
    <r>
      <t>"Sósimo Paniagua, secretario ejecutivo de la COD, dijo que lo más probable es que</t>
    </r>
    <r>
      <rPr>
        <b/>
        <i/>
        <sz val="14"/>
        <color rgb="FF1B1B1B"/>
        <rFont val="Times New Roman"/>
        <family val="1"/>
      </rPr>
      <t> se pedirá un mayor diferimiento </t>
    </r>
    <r>
      <rPr>
        <i/>
        <sz val="14"/>
        <color rgb="FF1B1B1B"/>
        <rFont val="Times New Roman"/>
        <family val="1"/>
      </rPr>
      <t>para que los trabajadores puedan llegar a acumular crédito fiscal, porque las disposiciones del Servicio de Impuestos Nacionales (SIN) prevén el 20 de junio como plazo máximo para presentar el RC-IVA."</t>
    </r>
  </si>
  <si>
    <t>NEXT &gt;&gt;&gt;</t>
  </si>
  <si>
    <t>Next page - AC &gt;&gt;&gt;</t>
  </si>
  <si>
    <r>
      <t xml:space="preserve">Los AR que </t>
    </r>
    <r>
      <rPr>
        <b/>
        <i/>
        <sz val="16"/>
        <color rgb="FFFFFF00"/>
        <rFont val="Times New Roman"/>
        <family val="1"/>
      </rPr>
      <t>NO</t>
    </r>
    <r>
      <rPr>
        <i/>
        <sz val="16"/>
        <color theme="0"/>
        <rFont val="Times New Roman"/>
        <family val="1"/>
      </rPr>
      <t xml:space="preserve"> tienen saldos a favor dep/fisco</t>
    </r>
  </si>
  <si>
    <t>Forward --&gt; Práctica</t>
  </si>
  <si>
    <t>0.-</t>
  </si>
  <si>
    <t>Informar y comunicar a los dependientes esta disposición.</t>
  </si>
  <si>
    <t>Color fuente</t>
  </si>
  <si>
    <t>Suma</t>
  </si>
  <si>
    <t>Solo inicial</t>
  </si>
  <si>
    <t>Formula</t>
  </si>
  <si>
    <t>PLANILLA TRIBUTARIA - CONSOLIDADA opción 3</t>
  </si>
  <si>
    <t xml:space="preserve">  -- AD nn--</t>
  </si>
  <si>
    <t>Bancos/Caja</t>
  </si>
  <si>
    <t>Garantia x pagar</t>
  </si>
  <si>
    <t>Debe</t>
  </si>
  <si>
    <t>Haber</t>
  </si>
  <si>
    <t>Sueldos</t>
  </si>
  <si>
    <t>RC Iva x pagar</t>
  </si>
  <si>
    <t>Glosa: por RC IVA de Abr o May</t>
  </si>
  <si>
    <t>Plla trib. / Plla. Sys / consolid. Solo x mes (es)</t>
  </si>
  <si>
    <t>Sueldos x pagar</t>
  </si>
  <si>
    <t>Glosa: Pago del RC IVA y devolución de gtia. A NN</t>
  </si>
  <si>
    <t>Consolidar en plla. Trib. solo por Abr.</t>
  </si>
  <si>
    <t>o abr y May según corresponda.</t>
  </si>
  <si>
    <t>Aportes Laborales</t>
  </si>
  <si>
    <t>Glosa: por Sueldos de Jun (Cargas Soc. en otro asiento)</t>
  </si>
  <si>
    <t>Plla trib. / Plla. Sys / consolid. x mes (es) incorp.</t>
  </si>
  <si>
    <t xml:space="preserve"> --&gt; ver registro Contable</t>
  </si>
  <si>
    <t>..</t>
  </si>
  <si>
    <t>Cuentas</t>
  </si>
  <si>
    <t>abr</t>
  </si>
  <si>
    <t>may</t>
  </si>
  <si>
    <t>jun</t>
  </si>
  <si>
    <r>
      <t xml:space="preserve">1. </t>
    </r>
    <r>
      <rPr>
        <i/>
        <sz val="11"/>
        <color rgb="FFFF0000"/>
        <rFont val="Times New Roman"/>
        <family val="1"/>
      </rPr>
      <t xml:space="preserve">Los dependientes deberán presentar a sus empleadores </t>
    </r>
    <r>
      <rPr>
        <b/>
        <i/>
        <u/>
        <sz val="11"/>
        <color rgb="FFFF0000"/>
        <rFont val="Times New Roman"/>
        <family val="1"/>
      </rPr>
      <t>hasta el 20 de cada mes</t>
    </r>
    <r>
      <rPr>
        <i/>
        <sz val="11"/>
        <color theme="2" tint="-0.249977111117893"/>
        <rFont val="Times New Roman"/>
        <family val="1"/>
      </rPr>
      <t xml:space="preserve">, el Formulario F-110 v.3 impreso y firmado, acompañando las facturas, notas fiscales o documentos equivalentes originales de respaldo, excepto cuando se trate de facturas electrónicas, es decir aquellas emitidas en las Modalidades de Facturación Oficina Virtual, Electrónica Web y Electrónica por Ciclos, identificadas como tales según la columna “FACTURA ELECTRÓNICA” en el Formulario F-110 v.3, que acredite el importe a compensar y dé lugar al pago a cuenta previsto en el numeral 1 del inciso c) del artículo 8 del Decreto Supremo Nº 21531. Las facturas, deberán estar emitidas a nombre del dependiente que las presenta, con las excepciones reconocidas por la Administración Tributaria mediante normativa reglamentaria, firmadas por éste y </t>
    </r>
  </si>
  <si>
    <t>RND 1020_06 (1era Prorroga) --&gt; IR</t>
  </si>
  <si>
    <t>Antes (del 2019) F-608 solo si saldo al fisco.</t>
  </si>
  <si>
    <t>DDJJ --&gt; c/vcto. Abr/20 (13-22 May-20)</t>
  </si>
  <si>
    <t>(DF) Deberes Formales --&gt; 11/05/2020</t>
  </si>
  <si>
    <t>NO TIENEN NINGUN PROBLEMA F-608/F110/Plla Trib.V2</t>
  </si>
  <si>
    <t>500 UFV</t>
  </si>
  <si>
    <t>Se podrá  reducir la  multa  en el</t>
  </si>
  <si>
    <t>50% si el contribuyente presenta la información hasta los 20 días siguientes  de  notificado  con el acto administrativo que inicia el procedimiento sancionador</t>
  </si>
  <si>
    <t>1000 UFV</t>
  </si>
  <si>
    <t>Se podrá reducir la multa en el</t>
  </si>
  <si>
    <t>50% si el contribuyente presenta la información hasta los 20 días siguientes de notificado con el acto administrativo que inicia el procedimiento sancionador</t>
  </si>
  <si>
    <t>100 UFV</t>
  </si>
  <si>
    <t>200 UFV</t>
  </si>
  <si>
    <t>50 UFV</t>
  </si>
  <si>
    <t>3.9</t>
  </si>
  <si>
    <t>3.10</t>
  </si>
  <si>
    <t>2. RELACIONADOS CON LA PRESENTACIÓN DE DECLARACIONES JURADAS</t>
  </si>
  <si>
    <t>No presentar Declaraciones Juradas Originales en el plazo establecido en normativa vigente.</t>
  </si>
  <si>
    <t>3. RELACIONADOS CON EL REGISTRO Y ENVÍO DE LA INFORMACIÓN OBLIGATORIA</t>
  </si>
  <si>
    <t>PERSONAS NATURALES, EMPRESAS UNIPERSONALES Y SUCESIONES INDIVISAS</t>
  </si>
  <si>
    <t>PERSONAS JURÍDICAS</t>
  </si>
  <si>
    <t>IMPORTE DE LA SANCIÓN</t>
  </si>
  <si>
    <t>INCUMPLIMIENTO AL DEBER FORMAL</t>
  </si>
  <si>
    <r>
      <rPr>
        <sz val="12"/>
        <color rgb="FFFF0000"/>
        <rFont val="Times New Roman"/>
        <family val="1"/>
      </rPr>
      <t>Envío</t>
    </r>
    <r>
      <rPr>
        <sz val="12"/>
        <color theme="1"/>
        <rFont val="Times New Roman"/>
        <family val="1"/>
      </rPr>
      <t xml:space="preserve"> de la información </t>
    </r>
    <r>
      <rPr>
        <sz val="12"/>
        <color rgb="FFFF0000"/>
        <rFont val="Times New Roman"/>
        <family val="1"/>
      </rPr>
      <t>rectificada por corrección</t>
    </r>
    <r>
      <rPr>
        <sz val="12"/>
        <color theme="1"/>
        <rFont val="Times New Roman"/>
        <family val="1"/>
      </rPr>
      <t xml:space="preserve"> de errores o inconsistencias, fuera del plazo establecido en normativa específica, a través del módulo Formulario Electrónico 110v.3 FACILITO para los sujetos pasivos obligados (</t>
    </r>
    <r>
      <rPr>
        <u/>
        <sz val="12"/>
        <color rgb="FFC00000"/>
        <rFont val="Times New Roman"/>
        <family val="1"/>
      </rPr>
      <t>Consultores y Profesionales Independientes</t>
    </r>
    <r>
      <rPr>
        <sz val="12"/>
        <color theme="1"/>
        <rFont val="Times New Roman"/>
        <family val="1"/>
      </rPr>
      <t>) a su envío.</t>
    </r>
  </si>
  <si>
    <r>
      <rPr>
        <sz val="12"/>
        <color rgb="FFFF0000"/>
        <rFont val="Times New Roman"/>
        <family val="1"/>
      </rPr>
      <t>Envío</t>
    </r>
    <r>
      <rPr>
        <sz val="12"/>
        <color theme="1"/>
        <rFont val="Times New Roman"/>
        <family val="1"/>
      </rPr>
      <t xml:space="preserve"> de la información </t>
    </r>
    <r>
      <rPr>
        <sz val="12"/>
        <color rgb="FFFF0000"/>
        <rFont val="Times New Roman"/>
        <family val="1"/>
      </rPr>
      <t>fuera del plazo</t>
    </r>
    <r>
      <rPr>
        <sz val="12"/>
        <color theme="1"/>
        <rFont val="Times New Roman"/>
        <family val="1"/>
      </rPr>
      <t xml:space="preserve"> establecido, a través del módulo Formulario Electrónico 110v.3 FACILITO para los sujetos pasivos obligados (</t>
    </r>
    <r>
      <rPr>
        <u/>
        <sz val="12"/>
        <color rgb="FFC00000"/>
        <rFont val="Times New Roman"/>
        <family val="1"/>
      </rPr>
      <t>Consultores y Profesionales Independientes</t>
    </r>
    <r>
      <rPr>
        <sz val="12"/>
        <color theme="1"/>
        <rFont val="Times New Roman"/>
        <family val="1"/>
      </rPr>
      <t>) a su envío, conforme normativa específica.</t>
    </r>
  </si>
  <si>
    <r>
      <rPr>
        <sz val="12"/>
        <color rgb="FFFF0000"/>
        <rFont val="Times New Roman"/>
        <family val="1"/>
      </rPr>
      <t>No envío</t>
    </r>
    <r>
      <rPr>
        <sz val="12"/>
        <color theme="1"/>
        <rFont val="Times New Roman"/>
        <family val="1"/>
      </rPr>
      <t xml:space="preserve"> de la información a través del módulo Formulario Electrónico 110v.3 FACILITO para los sujetos pasivos obligados (</t>
    </r>
    <r>
      <rPr>
        <u/>
        <sz val="12"/>
        <color rgb="FFC00000"/>
        <rFont val="Times New Roman"/>
        <family val="1"/>
      </rPr>
      <t>Consultores y Profesionales Independientes</t>
    </r>
    <r>
      <rPr>
        <sz val="12"/>
        <color theme="1"/>
        <rFont val="Times New Roman"/>
        <family val="1"/>
      </rPr>
      <t>) a su envío, conforme normativa específica.</t>
    </r>
  </si>
  <si>
    <r>
      <rPr>
        <sz val="12"/>
        <color rgb="FFFF0000"/>
        <rFont val="Times New Roman"/>
        <family val="1"/>
      </rPr>
      <t>Envío</t>
    </r>
    <r>
      <rPr>
        <sz val="12"/>
        <color theme="1"/>
        <rFont val="Times New Roman"/>
        <family val="1"/>
      </rPr>
      <t xml:space="preserve"> de la información RC-IVA (Planilla Tributaria en la versión vigente  y  F-110)  </t>
    </r>
    <r>
      <rPr>
        <sz val="12"/>
        <color rgb="FFFF0000"/>
        <rFont val="Times New Roman"/>
        <family val="1"/>
      </rPr>
      <t>fuera  de plazo</t>
    </r>
    <r>
      <rPr>
        <sz val="12"/>
        <color theme="1"/>
        <rFont val="Times New Roman"/>
        <family val="1"/>
      </rPr>
      <t xml:space="preserve">  a  través  de los medios  y formatos establecidos por la Administración Tributaria, </t>
    </r>
    <r>
      <rPr>
        <b/>
        <u/>
        <sz val="12"/>
        <color rgb="FFC00000"/>
        <rFont val="Times New Roman"/>
        <family val="1"/>
      </rPr>
      <t>por periodo fiscal</t>
    </r>
    <r>
      <rPr>
        <sz val="12"/>
        <color theme="1"/>
        <rFont val="Times New Roman"/>
        <family val="1"/>
      </rPr>
      <t xml:space="preserve"> (Agentes de Retención).</t>
    </r>
  </si>
  <si>
    <r>
      <rPr>
        <sz val="12"/>
        <color rgb="FFFF0000"/>
        <rFont val="Times New Roman"/>
        <family val="1"/>
      </rPr>
      <t>No envío</t>
    </r>
    <r>
      <rPr>
        <sz val="12"/>
        <color theme="1"/>
        <rFont val="Times New Roman"/>
        <family val="1"/>
      </rPr>
      <t xml:space="preserve">  de la información RC-IVA  (Planilla Tributaria en la versión  vigente  y F-110)  a través de los medios y  formatos establecidos por la Administración Tributaria, </t>
    </r>
    <r>
      <rPr>
        <b/>
        <u/>
        <sz val="12"/>
        <color rgb="FFC00000"/>
        <rFont val="Times New Roman"/>
        <family val="1"/>
      </rPr>
      <t>por periodo fiscal</t>
    </r>
    <r>
      <rPr>
        <sz val="12"/>
        <color theme="1"/>
        <rFont val="Times New Roman"/>
        <family val="1"/>
      </rPr>
      <t xml:space="preserve"> (Agentes de Retención).</t>
    </r>
  </si>
  <si>
    <r>
      <rPr>
        <sz val="12"/>
        <color rgb="FFFF0000"/>
        <rFont val="Times New Roman"/>
        <family val="1"/>
      </rPr>
      <t>Envío</t>
    </r>
    <r>
      <rPr>
        <sz val="12"/>
        <color theme="1"/>
        <rFont val="Times New Roman"/>
        <family val="1"/>
      </rPr>
      <t xml:space="preserve"> de la información </t>
    </r>
    <r>
      <rPr>
        <sz val="12"/>
        <color rgb="FFFF0000"/>
        <rFont val="Times New Roman"/>
        <family val="1"/>
      </rPr>
      <t>rectificada</t>
    </r>
    <r>
      <rPr>
        <sz val="12"/>
        <color theme="1"/>
        <rFont val="Times New Roman"/>
        <family val="1"/>
      </rPr>
      <t xml:space="preserve"> (Planilla Tributaria versión vigente  y F-110)  por corrección  de errores o inconsistencias, </t>
    </r>
    <r>
      <rPr>
        <sz val="12"/>
        <color rgb="FFFF0000"/>
        <rFont val="Times New Roman"/>
        <family val="1"/>
      </rPr>
      <t>fuera del plazo</t>
    </r>
    <r>
      <rPr>
        <sz val="12"/>
        <color theme="1"/>
        <rFont val="Times New Roman"/>
        <family val="1"/>
      </rPr>
      <t xml:space="preserve"> establecido en normativa específica </t>
    </r>
    <r>
      <rPr>
        <b/>
        <u/>
        <sz val="12"/>
        <color rgb="FFC00000"/>
        <rFont val="Times New Roman"/>
        <family val="1"/>
      </rPr>
      <t>por periodo fiscal</t>
    </r>
    <r>
      <rPr>
        <sz val="12"/>
        <color theme="1"/>
        <rFont val="Times New Roman"/>
        <family val="1"/>
      </rPr>
      <t xml:space="preserve"> (Agentes de Retención).</t>
    </r>
  </si>
  <si>
    <t xml:space="preserve"> &lt; --- VOLVER</t>
  </si>
  <si>
    <t>RND 1020_10</t>
  </si>
  <si>
    <t>RND 1020_10   &gt;&gt;&gt;</t>
  </si>
  <si>
    <t>RESUELVE:</t>
  </si>
  <si>
    <t>para el periodo fiscal junio 2020, en función al último dígito de NIT.</t>
  </si>
  <si>
    <t>F-200 /400 / 608 / otros como de retenciones.</t>
  </si>
  <si>
    <t>junio 2020, en función al último dígito de NIT.</t>
  </si>
  <si>
    <r>
      <rPr>
        <b/>
        <i/>
        <sz val="11"/>
        <color theme="1"/>
        <rFont val="Times New Roman"/>
        <family val="1"/>
      </rPr>
      <t>Artículo 1.</t>
    </r>
    <r>
      <rPr>
        <i/>
        <sz val="11"/>
        <color theme="1"/>
        <rFont val="Times New Roman"/>
        <family val="1"/>
      </rPr>
      <t xml:space="preserve">- Prorrogar la declaración y/o pago de obligaciones tributarias </t>
    </r>
    <r>
      <rPr>
        <i/>
        <sz val="11"/>
        <color rgb="FFFF0000"/>
        <rFont val="Times New Roman"/>
        <family val="1"/>
      </rPr>
      <t>mensuales</t>
    </r>
    <r>
      <rPr>
        <i/>
        <sz val="11"/>
        <color theme="1"/>
        <rFont val="Times New Roman"/>
        <family val="1"/>
      </rPr>
      <t xml:space="preserve"> de los </t>
    </r>
  </si>
  <si>
    <r>
      <rPr>
        <i/>
        <sz val="11"/>
        <color rgb="FFFF0000"/>
        <rFont val="Times New Roman"/>
        <family val="1"/>
      </rPr>
      <t>Información</t>
    </r>
    <r>
      <rPr>
        <i/>
        <sz val="11"/>
        <color theme="1"/>
        <rFont val="Times New Roman"/>
        <family val="1"/>
      </rPr>
      <t xml:space="preserve"> y otras establecidas en norma específica para los periodos fiscales de </t>
    </r>
  </si>
  <si>
    <r>
      <rPr>
        <b/>
        <i/>
        <sz val="11"/>
        <color theme="1"/>
        <rFont val="Times New Roman"/>
        <family val="1"/>
      </rPr>
      <t xml:space="preserve">Artículo 7.- </t>
    </r>
    <r>
      <rPr>
        <i/>
        <sz val="11"/>
        <color theme="1"/>
        <rFont val="Times New Roman"/>
        <family val="1"/>
      </rPr>
      <t xml:space="preserve">Prorrogar la presentación de los Libros de Compras y Ventas IVA, </t>
    </r>
    <r>
      <rPr>
        <i/>
        <sz val="11"/>
        <color rgb="FFFF0000"/>
        <rFont val="Times New Roman"/>
        <family val="1"/>
      </rPr>
      <t xml:space="preserve">Agentes de </t>
    </r>
  </si>
  <si>
    <t>DISPOSICIÓN ADICIONAL</t>
  </si>
  <si>
    <t>RND 1020_10 (8.5.20)</t>
  </si>
  <si>
    <r>
      <rPr>
        <b/>
        <i/>
        <sz val="11"/>
        <color theme="1"/>
        <rFont val="Times New Roman"/>
        <family val="1"/>
      </rPr>
      <t xml:space="preserve">Única. - </t>
    </r>
    <r>
      <rPr>
        <i/>
        <sz val="11"/>
        <color theme="1"/>
        <rFont val="Times New Roman"/>
        <family val="1"/>
      </rPr>
      <t>Se aclara lo dispuesto en el Artículo 2 y Disposición Transitoria Séptima de la Resolución</t>
    </r>
  </si>
  <si>
    <t>Normativa de Directorio N° 102000000009 de 16 de abril de 2020, señalando que los agentes de</t>
  </si>
  <si>
    <t>junio de 2020.</t>
  </si>
  <si>
    <t>(13-22/07/2020)</t>
  </si>
  <si>
    <r>
      <t xml:space="preserve">retención del RC-IVA dependientes, </t>
    </r>
    <r>
      <rPr>
        <i/>
        <sz val="11"/>
        <color rgb="FFFF0000"/>
        <rFont val="Times New Roman"/>
        <family val="1"/>
      </rPr>
      <t>podrán presentar la planilla tributaria consolidada</t>
    </r>
    <r>
      <rPr>
        <i/>
        <sz val="11"/>
        <color theme="1"/>
        <rFont val="Times New Roman"/>
        <family val="1"/>
      </rPr>
      <t xml:space="preserve"> a junio o de </t>
    </r>
  </si>
  <si>
    <t>mes (separado)</t>
  </si>
  <si>
    <t>Consolidado / Separado</t>
  </si>
  <si>
    <t>AR</t>
  </si>
  <si>
    <t>DEP F110</t>
  </si>
  <si>
    <t>LCV / ATC/ Plla Trib + F110/ otros.. AFPs</t>
  </si>
  <si>
    <r>
      <t>periodos fiscales</t>
    </r>
    <r>
      <rPr>
        <i/>
        <sz val="11"/>
        <color rgb="FFFF0000"/>
        <rFont val="Times New Roman"/>
        <family val="1"/>
      </rPr>
      <t xml:space="preserve"> febrero, marzo, abril y mayo de 2020</t>
    </r>
    <r>
      <rPr>
        <i/>
        <sz val="11"/>
        <color theme="1"/>
        <rFont val="Times New Roman"/>
        <family val="1"/>
      </rPr>
      <t xml:space="preserve"> hasta los vencimientos establecidos </t>
    </r>
  </si>
  <si>
    <r>
      <rPr>
        <i/>
        <sz val="11"/>
        <color rgb="FFFF0000"/>
        <rFont val="Times New Roman"/>
        <family val="1"/>
      </rPr>
      <t>febrero, marzo, abril y mayo</t>
    </r>
    <r>
      <rPr>
        <i/>
        <sz val="11"/>
        <color theme="1"/>
        <rFont val="Times New Roman"/>
        <family val="1"/>
      </rPr>
      <t xml:space="preserve"> de 2020 hasta los vencimientos establecidos para el periodo fiscal </t>
    </r>
  </si>
  <si>
    <r>
      <rPr>
        <i/>
        <sz val="11"/>
        <color rgb="FFFF0000"/>
        <rFont val="Times New Roman"/>
        <family val="1"/>
      </rPr>
      <t xml:space="preserve">forma separada </t>
    </r>
    <r>
      <rPr>
        <i/>
        <sz val="11"/>
        <color theme="1"/>
        <rFont val="Times New Roman"/>
        <family val="1"/>
      </rPr>
      <t xml:space="preserve">por los periodos fiscales de </t>
    </r>
    <r>
      <rPr>
        <i/>
        <sz val="11"/>
        <color rgb="FFFF0000"/>
        <rFont val="Times New Roman"/>
        <family val="1"/>
      </rPr>
      <t>abril, mayo y junio</t>
    </r>
    <r>
      <rPr>
        <i/>
        <sz val="11"/>
        <color theme="1"/>
        <rFont val="Times New Roman"/>
        <family val="1"/>
      </rPr>
      <t>, hasta el vencimiento del periodo</t>
    </r>
  </si>
  <si>
    <t>13-22/07/2020</t>
  </si>
  <si>
    <t>13-22/07/2021</t>
  </si>
  <si>
    <t>DDJJ F-608v3</t>
  </si>
  <si>
    <t xml:space="preserve"> y Plla. Trib V2. con vcto de Jun/20.</t>
  </si>
  <si>
    <t>La nueva fecha de ampliación hasta el 20/6/2020 F-110</t>
  </si>
  <si>
    <t>Se da la posibilidad de hacerlo por separado con la</t>
  </si>
  <si>
    <t>hacer la planilla consolidada, para un correcto</t>
  </si>
  <si>
    <t>cumplimiento de los contribuyentes.</t>
  </si>
  <si>
    <t>Los del SIN deben hacer una capacitación de como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</si>
</sst>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000"/>
    <numFmt numFmtId="165" formatCode="[$-409]mmm\-yy;@"/>
    <numFmt numFmtId="166" formatCode="0.0%"/>
    <numFmt numFmtId="167" formatCode="0.0000"/>
    <numFmt numFmtId="168" formatCode="dddd"/>
    <numFmt numFmtId="169" formatCode="d/mm/yyyy;@"/>
  </numFmts>
  <fonts count="1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FFFFFF"/>
      <name val="Arial"/>
      <family val="2"/>
    </font>
    <font>
      <sz val="9"/>
      <color rgb="FF000000"/>
      <name val="Calibri"/>
      <family val="2"/>
    </font>
    <font>
      <b/>
      <sz val="11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7"/>
      <color rgb="FFFF0000"/>
      <name val="Arial"/>
      <family val="2"/>
    </font>
    <font>
      <b/>
      <sz val="8"/>
      <color rgb="FFFF0000"/>
      <name val="Arial"/>
      <family val="2"/>
    </font>
    <font>
      <sz val="7"/>
      <color rgb="FF002060"/>
      <name val="Arial"/>
      <family val="2"/>
    </font>
    <font>
      <b/>
      <sz val="8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0" tint="-0.34998626667073579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8"/>
      <color indexed="23"/>
      <name val="Verdana"/>
      <family val="2"/>
    </font>
    <font>
      <b/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sz val="11"/>
      <color theme="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color theme="0"/>
      <name val="Times New Roman"/>
      <family val="1"/>
    </font>
    <font>
      <i/>
      <sz val="16"/>
      <color theme="0"/>
      <name val="Times New Roman"/>
      <family val="1"/>
    </font>
    <font>
      <b/>
      <i/>
      <sz val="16"/>
      <color rgb="FFFFFF00"/>
      <name val="Times New Roman"/>
      <family val="1"/>
    </font>
    <font>
      <b/>
      <i/>
      <sz val="16"/>
      <color theme="0"/>
      <name val="Times New Roman"/>
      <family val="1"/>
    </font>
    <font>
      <b/>
      <sz val="16"/>
      <color rgb="FFFFFF00"/>
      <name val="Times New Roman"/>
      <family val="1"/>
    </font>
    <font>
      <b/>
      <i/>
      <sz val="11"/>
      <color rgb="FF7030A0"/>
      <name val="Calibri"/>
      <family val="2"/>
      <scheme val="minor"/>
    </font>
    <font>
      <sz val="7"/>
      <color rgb="FF000000"/>
      <name val="Verdana"/>
      <family val="2"/>
    </font>
    <font>
      <b/>
      <sz val="14"/>
      <color rgb="FF003B71"/>
      <name val="Verdana"/>
      <family val="2"/>
    </font>
    <font>
      <b/>
      <sz val="10"/>
      <color rgb="FF7F9DB9"/>
      <name val="Verdana"/>
      <family val="2"/>
    </font>
    <font>
      <b/>
      <sz val="10"/>
      <color rgb="FF003B71"/>
      <name val="Verdana"/>
      <family val="2"/>
    </font>
    <font>
      <b/>
      <sz val="10"/>
      <color rgb="FFFFFFFF"/>
      <name val="Verdana"/>
      <family val="2"/>
    </font>
    <font>
      <b/>
      <sz val="7"/>
      <color rgb="FF000000"/>
      <name val="Verdana"/>
      <family val="2"/>
    </font>
    <font>
      <sz val="8"/>
      <color rgb="FFFF0000"/>
      <name val="Verdana"/>
      <family val="2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FF0000"/>
      <name val="Verdana"/>
      <family val="2"/>
    </font>
    <font>
      <sz val="9"/>
      <color theme="1"/>
      <name val="Calibri"/>
      <family val="2"/>
      <scheme val="minor"/>
    </font>
    <font>
      <b/>
      <sz val="9"/>
      <color rgb="FF003B71"/>
      <name val="Verdana"/>
      <family val="2"/>
    </font>
    <font>
      <sz val="9"/>
      <color rgb="FF000000"/>
      <name val="Verdana"/>
      <family val="2"/>
    </font>
    <font>
      <b/>
      <sz val="9"/>
      <color rgb="FFFFFFFF"/>
      <name val="Verdana"/>
      <family val="2"/>
    </font>
    <font>
      <sz val="8"/>
      <color theme="1"/>
      <name val="Calibri"/>
      <family val="2"/>
      <scheme val="minor"/>
    </font>
    <font>
      <b/>
      <sz val="8"/>
      <color rgb="FF003B71"/>
      <name val="Verdana"/>
      <family val="2"/>
    </font>
    <font>
      <b/>
      <sz val="8"/>
      <color rgb="FFFFFFFF"/>
      <name val="Verdana"/>
      <family val="2"/>
    </font>
    <font>
      <u/>
      <sz val="11"/>
      <color theme="10"/>
      <name val="Calibri"/>
      <family val="2"/>
      <scheme val="minor"/>
    </font>
    <font>
      <b/>
      <i/>
      <sz val="16"/>
      <color rgb="FF0070C0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b/>
      <i/>
      <u/>
      <sz val="11"/>
      <color rgb="FFC00000"/>
      <name val="Times New Roman"/>
      <family val="1"/>
    </font>
    <font>
      <b/>
      <i/>
      <sz val="11"/>
      <color rgb="FFC00000"/>
      <name val="Times New Roman"/>
      <family val="1"/>
    </font>
    <font>
      <b/>
      <i/>
      <sz val="11"/>
      <color rgb="FF0070C0"/>
      <name val="Times New Roman"/>
      <family val="1"/>
    </font>
    <font>
      <b/>
      <i/>
      <u/>
      <sz val="11"/>
      <color rgb="FF002060"/>
      <name val="Times New Roman"/>
      <family val="1"/>
    </font>
    <font>
      <b/>
      <i/>
      <sz val="14"/>
      <color rgb="FF0070C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24"/>
      <color rgb="FFFFFF00"/>
      <name val="Times New Roman"/>
      <family val="1"/>
    </font>
    <font>
      <b/>
      <sz val="11"/>
      <color theme="0"/>
      <name val="Calibri"/>
      <family val="2"/>
      <scheme val="minor"/>
    </font>
    <font>
      <b/>
      <i/>
      <sz val="11"/>
      <color theme="1"/>
      <name val="Times New Roman"/>
      <family val="1"/>
    </font>
    <font>
      <i/>
      <u/>
      <sz val="11"/>
      <color rgb="FFFF0000"/>
      <name val="Times New Roman"/>
      <family val="1"/>
    </font>
    <font>
      <b/>
      <i/>
      <sz val="11"/>
      <color rgb="FF00206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1"/>
      <color rgb="FF0070C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7"/>
      <color rgb="FF7030A0"/>
      <name val="Arial"/>
      <family val="2"/>
    </font>
    <font>
      <b/>
      <sz val="11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6"/>
      <color rgb="FF0070C0"/>
      <name val="Times New Roman"/>
      <family val="1"/>
    </font>
    <font>
      <b/>
      <sz val="14"/>
      <color rgb="FF7030A0"/>
      <name val="Times New Roman"/>
      <family val="1"/>
    </font>
    <font>
      <b/>
      <u/>
      <sz val="16"/>
      <color rgb="FF002060"/>
      <name val="Times New Roman"/>
      <family val="1"/>
    </font>
    <font>
      <b/>
      <i/>
      <sz val="14"/>
      <color rgb="FF00206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.9"/>
      <color rgb="FF008000"/>
      <name val="Times New Roman"/>
      <family val="1"/>
    </font>
    <font>
      <i/>
      <sz val="20"/>
      <color theme="1"/>
      <name val="Times New Roman"/>
      <family val="1"/>
    </font>
    <font>
      <b/>
      <i/>
      <sz val="13"/>
      <color rgb="FF000000"/>
      <name val="Times New Roman"/>
      <family val="1"/>
    </font>
    <font>
      <i/>
      <sz val="13"/>
      <color rgb="FF0070C0"/>
      <name val="Times New Roman"/>
      <family val="1"/>
    </font>
    <font>
      <i/>
      <sz val="13"/>
      <color rgb="FF000000"/>
      <name val="Times New Roman"/>
      <family val="1"/>
    </font>
    <font>
      <i/>
      <sz val="13"/>
      <color rgb="FFA6A6A6"/>
      <name val="Times New Roman"/>
      <family val="1"/>
    </font>
    <font>
      <i/>
      <sz val="13"/>
      <color theme="1"/>
      <name val="Times New Roman"/>
      <family val="1"/>
    </font>
    <font>
      <i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Times New Roman"/>
      <family val="1"/>
    </font>
    <font>
      <b/>
      <i/>
      <u/>
      <sz val="16"/>
      <color rgb="FFFFFF00"/>
      <name val="Times New Roman"/>
      <family val="1"/>
    </font>
    <font>
      <b/>
      <i/>
      <u/>
      <sz val="14"/>
      <color rgb="FFFFFF00"/>
      <name val="Times New Roman"/>
      <family val="1"/>
    </font>
    <font>
      <b/>
      <i/>
      <u/>
      <sz val="12"/>
      <color rgb="FFFFFF00"/>
      <name val="Times New Roman"/>
      <family val="1"/>
    </font>
    <font>
      <i/>
      <sz val="14"/>
      <color rgb="FFFFFF00"/>
      <name val="Times New Roman"/>
      <family val="1"/>
    </font>
    <font>
      <i/>
      <sz val="14"/>
      <color rgb="FF1B1B1B"/>
      <name val="Times New Roman"/>
      <family val="1"/>
    </font>
    <font>
      <b/>
      <i/>
      <sz val="14"/>
      <color rgb="FF1B1B1B"/>
      <name val="Times New Roman"/>
      <family val="1"/>
    </font>
    <font>
      <sz val="9"/>
      <color rgb="FFFF0000"/>
      <name val="Calibri"/>
      <family val="2"/>
    </font>
    <font>
      <i/>
      <sz val="11"/>
      <color theme="2" tint="-0.249977111117893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u/>
      <sz val="11"/>
      <name val="Times New Roman"/>
      <family val="1"/>
    </font>
    <font>
      <b/>
      <i/>
      <sz val="14"/>
      <color rgb="FF002060"/>
      <name val="Times New Roman"/>
      <family val="1"/>
    </font>
    <font>
      <i/>
      <sz val="11"/>
      <color theme="9" tint="-0.249977111117893"/>
      <name val="Times New Roman"/>
      <family val="1"/>
    </font>
    <font>
      <i/>
      <sz val="11"/>
      <color rgb="FF7030A0"/>
      <name val="Times New Roman"/>
      <family val="1"/>
    </font>
    <font>
      <b/>
      <i/>
      <u/>
      <sz val="11"/>
      <color rgb="FF0070C0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sz val="7"/>
      <color theme="1"/>
      <name val="Times New Roman"/>
      <family val="1"/>
    </font>
    <font>
      <b/>
      <i/>
      <sz val="7"/>
      <color theme="0"/>
      <name val="Times New Roman"/>
      <family val="1"/>
    </font>
    <font>
      <sz val="16"/>
      <color rgb="FF00206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rgb="FFFF0000"/>
      <name val="Arial"/>
      <family val="2"/>
    </font>
    <font>
      <b/>
      <sz val="9"/>
      <color rgb="FFFF0000"/>
      <name val="Verdana"/>
      <family val="2"/>
    </font>
    <font>
      <b/>
      <sz val="11"/>
      <color rgb="FF002060"/>
      <name val="Times New Roman"/>
      <family val="1"/>
    </font>
    <font>
      <sz val="10"/>
      <color theme="1"/>
      <name val="Calibri"/>
      <family val="2"/>
      <scheme val="minor"/>
    </font>
    <font>
      <b/>
      <i/>
      <u/>
      <sz val="11"/>
      <color theme="1"/>
      <name val="Times New Roman"/>
      <family val="1"/>
    </font>
    <font>
      <i/>
      <sz val="11"/>
      <color theme="0"/>
      <name val="Calibri"/>
      <family val="2"/>
      <scheme val="minor"/>
    </font>
    <font>
      <b/>
      <i/>
      <sz val="12"/>
      <color rgb="FF002060"/>
      <name val="Times New Roman"/>
      <family val="1"/>
    </font>
    <font>
      <b/>
      <i/>
      <sz val="16"/>
      <color rgb="FFFF0000"/>
      <name val="Times New Roman"/>
      <family val="1"/>
    </font>
    <font>
      <b/>
      <i/>
      <sz val="14"/>
      <color rgb="FF00B050"/>
      <name val="Times New Roman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Verdana"/>
      <family val="2"/>
    </font>
    <font>
      <sz val="11"/>
      <color rgb="FF7030A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4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sz val="11"/>
      <name val="Calibri"/>
      <family val="2"/>
      <scheme val="minor"/>
    </font>
    <font>
      <sz val="9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i/>
      <u/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.5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C00000"/>
      <name val="Times New Roman"/>
      <family val="1"/>
    </font>
    <font>
      <b/>
      <u/>
      <sz val="12"/>
      <color rgb="FFC00000"/>
      <name val="Times New Roman"/>
      <family val="1"/>
    </font>
    <font>
      <b/>
      <sz val="8"/>
      <color rgb="FF000000"/>
      <name val="Verdana"/>
      <family val="2"/>
    </font>
    <font>
      <sz val="13"/>
      <color theme="1"/>
      <name val="Times New Roman"/>
      <family val="1"/>
    </font>
    <font>
      <b/>
      <sz val="14"/>
      <color theme="5" tint="-0.499984740745262"/>
      <name val="Times New Roman"/>
      <family val="1"/>
    </font>
    <font>
      <b/>
      <i/>
      <sz val="12"/>
      <color theme="9" tint="-0.499984740745262"/>
      <name val="Times New Roman"/>
      <family val="1"/>
    </font>
    <font>
      <sz val="8"/>
      <name val="Calibri"/>
      <family val="2"/>
      <scheme val="minor"/>
    </font>
    <font>
      <b/>
      <u/>
      <sz val="14"/>
      <color theme="7" tint="-0.499984740745262"/>
      <name val="Times New Roman"/>
      <family val="1"/>
    </font>
    <font>
      <sz val="7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rgb="FF1E4E7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1E4E7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2B38A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3B71"/>
      </left>
      <right/>
      <top style="thick">
        <color rgb="FF003B71"/>
      </top>
      <bottom/>
      <diagonal/>
    </border>
    <border>
      <left/>
      <right/>
      <top style="thick">
        <color rgb="FF003B71"/>
      </top>
      <bottom/>
      <diagonal/>
    </border>
    <border>
      <left/>
      <right style="thick">
        <color rgb="FF003B71"/>
      </right>
      <top style="thick">
        <color rgb="FF003B71"/>
      </top>
      <bottom/>
      <diagonal/>
    </border>
    <border>
      <left style="thick">
        <color rgb="FF003B71"/>
      </left>
      <right/>
      <top/>
      <bottom/>
      <diagonal/>
    </border>
    <border>
      <left/>
      <right style="thick">
        <color rgb="FF003B71"/>
      </right>
      <top/>
      <bottom/>
      <diagonal/>
    </border>
    <border>
      <left style="thick">
        <color rgb="FF003B71"/>
      </left>
      <right style="medium">
        <color rgb="FFB0C4DE"/>
      </right>
      <top style="medium">
        <color rgb="FFB0C4DE"/>
      </top>
      <bottom style="medium">
        <color rgb="FFB0C4DE"/>
      </bottom>
      <diagonal/>
    </border>
    <border>
      <left style="medium">
        <color rgb="FFB0C4DE"/>
      </left>
      <right style="medium">
        <color rgb="FFB0C4DE"/>
      </right>
      <top style="medium">
        <color rgb="FFB0C4DE"/>
      </top>
      <bottom style="medium">
        <color rgb="FFB0C4DE"/>
      </bottom>
      <diagonal/>
    </border>
    <border>
      <left style="thick">
        <color rgb="FF003B71"/>
      </left>
      <right style="medium">
        <color rgb="FFB0C4DE"/>
      </right>
      <top style="medium">
        <color rgb="FFB0C4DE"/>
      </top>
      <bottom style="thick">
        <color rgb="FF003B71"/>
      </bottom>
      <diagonal/>
    </border>
    <border>
      <left style="medium">
        <color rgb="FFB0C4DE"/>
      </left>
      <right style="medium">
        <color rgb="FFB0C4DE"/>
      </right>
      <top style="medium">
        <color rgb="FFB0C4DE"/>
      </top>
      <bottom style="thick">
        <color rgb="FF003B71"/>
      </bottom>
      <diagonal/>
    </border>
    <border>
      <left style="medium">
        <color rgb="FFB0C4DE"/>
      </left>
      <right style="thick">
        <color rgb="FF003B71"/>
      </right>
      <top style="medium">
        <color rgb="FFB0C4DE"/>
      </top>
      <bottom style="medium">
        <color rgb="FFB0C4DE"/>
      </bottom>
      <diagonal/>
    </border>
    <border>
      <left style="medium">
        <color rgb="FFB0C4DE"/>
      </left>
      <right style="thick">
        <color rgb="FF003B71"/>
      </right>
      <top style="medium">
        <color rgb="FFB0C4DE"/>
      </top>
      <bottom style="thick">
        <color rgb="FF003B71"/>
      </bottom>
      <diagonal/>
    </border>
    <border>
      <left style="thick">
        <color rgb="FF003B71"/>
      </left>
      <right/>
      <top/>
      <bottom style="medium">
        <color rgb="FFB0C4DE"/>
      </bottom>
      <diagonal/>
    </border>
    <border>
      <left/>
      <right/>
      <top/>
      <bottom style="medium">
        <color rgb="FFB0C4DE"/>
      </bottom>
      <diagonal/>
    </border>
    <border>
      <left/>
      <right style="thick">
        <color rgb="FF003B71"/>
      </right>
      <top/>
      <bottom style="medium">
        <color rgb="FFB0C4DE"/>
      </bottom>
      <diagonal/>
    </border>
    <border>
      <left style="thick">
        <color rgb="FF003B71"/>
      </left>
      <right style="thick">
        <color rgb="FF003B71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5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4" fillId="2" borderId="1" xfId="0" applyNumberFormat="1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3" fontId="0" fillId="2" borderId="1" xfId="0" applyNumberFormat="1" applyFill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5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6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/>
    <xf numFmtId="3" fontId="0" fillId="0" borderId="7" xfId="0" applyNumberForma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0" fontId="3" fillId="0" borderId="0" xfId="0" applyFont="1"/>
    <xf numFmtId="0" fontId="0" fillId="0" borderId="6" xfId="0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0" fillId="0" borderId="6" xfId="0" applyFill="1" applyBorder="1"/>
    <xf numFmtId="0" fontId="4" fillId="0" borderId="6" xfId="0" applyFont="1" applyFill="1" applyBorder="1" applyAlignment="1">
      <alignment horizontal="center"/>
    </xf>
    <xf numFmtId="3" fontId="0" fillId="0" borderId="6" xfId="0" applyNumberFormat="1" applyFill="1" applyBorder="1"/>
    <xf numFmtId="3" fontId="12" fillId="0" borderId="6" xfId="0" applyNumberFormat="1" applyFont="1" applyFill="1" applyBorder="1"/>
    <xf numFmtId="0" fontId="0" fillId="0" borderId="0" xfId="0" applyFill="1"/>
    <xf numFmtId="0" fontId="7" fillId="5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/>
    <xf numFmtId="3" fontId="2" fillId="0" borderId="3" xfId="0" applyNumberFormat="1" applyFont="1" applyBorder="1"/>
    <xf numFmtId="3" fontId="2" fillId="0" borderId="6" xfId="0" applyNumberFormat="1" applyFont="1" applyFill="1" applyBorder="1"/>
    <xf numFmtId="3" fontId="2" fillId="0" borderId="6" xfId="0" applyNumberFormat="1" applyFont="1" applyBorder="1"/>
    <xf numFmtId="0" fontId="19" fillId="0" borderId="2" xfId="0" applyFont="1" applyBorder="1" applyAlignment="1">
      <alignment horizontal="center" vertical="center" wrapText="1"/>
    </xf>
    <xf numFmtId="3" fontId="21" fillId="0" borderId="5" xfId="0" applyNumberFormat="1" applyFont="1" applyBorder="1"/>
    <xf numFmtId="3" fontId="21" fillId="0" borderId="3" xfId="0" applyNumberFormat="1" applyFont="1" applyBorder="1"/>
    <xf numFmtId="3" fontId="21" fillId="0" borderId="6" xfId="0" applyNumberFormat="1" applyFont="1" applyFill="1" applyBorder="1"/>
    <xf numFmtId="3" fontId="21" fillId="0" borderId="6" xfId="0" applyNumberFormat="1" applyFont="1" applyBorder="1"/>
    <xf numFmtId="0" fontId="18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0" fontId="24" fillId="0" borderId="0" xfId="0" applyFont="1" applyAlignment="1">
      <alignment horizontal="centerContinuous" vertical="top"/>
    </xf>
    <xf numFmtId="0" fontId="27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29" fillId="0" borderId="0" xfId="0" applyFont="1" applyAlignment="1">
      <alignment vertical="top"/>
    </xf>
    <xf numFmtId="0" fontId="26" fillId="0" borderId="0" xfId="0" applyFont="1" applyAlignment="1">
      <alignment horizontal="centerContinuous" vertical="top"/>
    </xf>
    <xf numFmtId="166" fontId="26" fillId="0" borderId="0" xfId="1" applyNumberFormat="1" applyFont="1" applyFill="1" applyBorder="1" applyAlignment="1">
      <alignment vertical="top"/>
    </xf>
    <xf numFmtId="0" fontId="31" fillId="0" borderId="0" xfId="0" applyFont="1" applyAlignment="1">
      <alignment vertical="top"/>
    </xf>
    <xf numFmtId="0" fontId="32" fillId="0" borderId="0" xfId="0" applyFont="1" applyAlignment="1">
      <alignment vertical="top"/>
    </xf>
    <xf numFmtId="14" fontId="26" fillId="0" borderId="0" xfId="0" applyNumberFormat="1" applyFont="1" applyAlignment="1">
      <alignment vertical="top"/>
    </xf>
    <xf numFmtId="0" fontId="29" fillId="0" borderId="0" xfId="0" applyFont="1" applyAlignment="1">
      <alignment horizontal="centerContinuous" vertical="top"/>
    </xf>
    <xf numFmtId="2" fontId="26" fillId="0" borderId="0" xfId="1" applyNumberFormat="1" applyFont="1" applyFill="1" applyAlignment="1">
      <alignment vertical="top"/>
    </xf>
    <xf numFmtId="4" fontId="26" fillId="0" borderId="0" xfId="0" applyNumberFormat="1" applyFont="1" applyAlignment="1">
      <alignment vertical="top"/>
    </xf>
    <xf numFmtId="4" fontId="33" fillId="0" borderId="0" xfId="0" applyNumberFormat="1" applyFont="1"/>
    <xf numFmtId="0" fontId="34" fillId="7" borderId="1" xfId="0" applyFont="1" applyFill="1" applyBorder="1" applyAlignment="1">
      <alignment horizontal="center" vertical="top"/>
    </xf>
    <xf numFmtId="0" fontId="34" fillId="7" borderId="1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horizontal="center" wrapText="1"/>
    </xf>
    <xf numFmtId="4" fontId="34" fillId="0" borderId="0" xfId="0" applyNumberFormat="1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6" fillId="8" borderId="1" xfId="0" applyFont="1" applyFill="1" applyBorder="1" applyAlignment="1">
      <alignment horizontal="center" vertical="center"/>
    </xf>
    <xf numFmtId="0" fontId="26" fillId="0" borderId="1" xfId="0" quotePrefix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4" fontId="34" fillId="0" borderId="1" xfId="0" applyNumberFormat="1" applyFont="1" applyBorder="1" applyAlignment="1">
      <alignment horizontal="right" vertical="center"/>
    </xf>
    <xf numFmtId="4" fontId="26" fillId="0" borderId="1" xfId="0" applyNumberFormat="1" applyFont="1" applyBorder="1" applyAlignment="1">
      <alignment vertical="center"/>
    </xf>
    <xf numFmtId="4" fontId="32" fillId="0" borderId="1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10" fontId="32" fillId="0" borderId="0" xfId="1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4" fontId="37" fillId="0" borderId="1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14" fontId="38" fillId="0" borderId="1" xfId="0" applyNumberFormat="1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right" vertical="center"/>
    </xf>
    <xf numFmtId="4" fontId="38" fillId="0" borderId="1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4" fontId="32" fillId="8" borderId="0" xfId="0" applyNumberFormat="1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40" fillId="0" borderId="0" xfId="0" applyFont="1" applyAlignment="1">
      <alignment vertical="top"/>
    </xf>
    <xf numFmtId="0" fontId="32" fillId="0" borderId="0" xfId="0" applyFont="1" applyAlignment="1">
      <alignment horizontal="center" vertical="top"/>
    </xf>
    <xf numFmtId="0" fontId="38" fillId="0" borderId="0" xfId="0" applyFont="1" applyAlignment="1">
      <alignment vertical="top"/>
    </xf>
    <xf numFmtId="0" fontId="26" fillId="8" borderId="0" xfId="0" applyFont="1" applyFill="1" applyAlignment="1">
      <alignment vertical="top"/>
    </xf>
    <xf numFmtId="43" fontId="32" fillId="8" borderId="0" xfId="0" applyNumberFormat="1" applyFont="1" applyFill="1" applyAlignment="1">
      <alignment vertical="top"/>
    </xf>
    <xf numFmtId="43" fontId="41" fillId="8" borderId="0" xfId="0" applyNumberFormat="1" applyFont="1" applyFill="1" applyAlignment="1">
      <alignment vertical="top"/>
    </xf>
    <xf numFmtId="0" fontId="41" fillId="8" borderId="0" xfId="0" applyFont="1" applyFill="1" applyAlignment="1">
      <alignment vertical="top"/>
    </xf>
    <xf numFmtId="0" fontId="41" fillId="0" borderId="0" xfId="0" applyFont="1" applyAlignment="1">
      <alignment vertical="top"/>
    </xf>
    <xf numFmtId="1" fontId="41" fillId="8" borderId="0" xfId="0" applyNumberFormat="1" applyFont="1" applyFill="1" applyAlignment="1">
      <alignment vertical="top"/>
    </xf>
    <xf numFmtId="10" fontId="41" fillId="8" borderId="0" xfId="1" applyNumberFormat="1" applyFont="1" applyFill="1" applyAlignment="1">
      <alignment vertical="top"/>
    </xf>
    <xf numFmtId="43" fontId="32" fillId="0" borderId="0" xfId="0" applyNumberFormat="1" applyFont="1" applyAlignment="1">
      <alignment vertical="top"/>
    </xf>
    <xf numFmtId="0" fontId="34" fillId="5" borderId="1" xfId="0" applyFont="1" applyFill="1" applyBorder="1" applyAlignment="1">
      <alignment horizontal="center" vertical="top" wrapText="1"/>
    </xf>
    <xf numFmtId="0" fontId="34" fillId="5" borderId="0" xfId="0" applyFont="1" applyFill="1" applyAlignment="1">
      <alignment horizontal="center" wrapText="1"/>
    </xf>
    <xf numFmtId="4" fontId="26" fillId="5" borderId="1" xfId="0" applyNumberFormat="1" applyFont="1" applyFill="1" applyBorder="1" applyAlignment="1">
      <alignment vertical="center"/>
    </xf>
    <xf numFmtId="9" fontId="32" fillId="0" borderId="0" xfId="1" applyFont="1" applyFill="1" applyBorder="1" applyAlignment="1">
      <alignment horizontal="center" vertical="center"/>
    </xf>
    <xf numFmtId="9" fontId="44" fillId="0" borderId="0" xfId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/>
    </xf>
    <xf numFmtId="167" fontId="32" fillId="0" borderId="0" xfId="0" applyNumberFormat="1" applyFont="1" applyFill="1" applyBorder="1" applyAlignment="1">
      <alignment vertical="top"/>
    </xf>
    <xf numFmtId="0" fontId="42" fillId="0" borderId="0" xfId="0" applyFont="1" applyFill="1" applyBorder="1" applyAlignment="1">
      <alignment vertical="top"/>
    </xf>
    <xf numFmtId="14" fontId="32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43" fillId="0" borderId="0" xfId="0" applyFont="1" applyFill="1" applyBorder="1" applyAlignment="1">
      <alignment horizontal="center" vertical="center"/>
    </xf>
    <xf numFmtId="9" fontId="32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vertical="top"/>
    </xf>
    <xf numFmtId="1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vertical="center"/>
    </xf>
    <xf numFmtId="9" fontId="36" fillId="0" borderId="0" xfId="0" applyNumberFormat="1" applyFont="1" applyFill="1" applyBorder="1" applyAlignment="1">
      <alignment vertical="center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9" fontId="32" fillId="0" borderId="0" xfId="0" applyNumberFormat="1" applyFont="1" applyFill="1" applyBorder="1" applyAlignment="1">
      <alignment vertical="center"/>
    </xf>
    <xf numFmtId="9" fontId="32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top"/>
    </xf>
    <xf numFmtId="0" fontId="44" fillId="0" borderId="0" xfId="0" applyFont="1" applyFill="1" applyBorder="1" applyAlignment="1">
      <alignment vertical="top"/>
    </xf>
    <xf numFmtId="4" fontId="44" fillId="0" borderId="0" xfId="0" applyNumberFormat="1" applyFont="1" applyFill="1" applyBorder="1" applyAlignment="1">
      <alignment vertical="top"/>
    </xf>
    <xf numFmtId="0" fontId="32" fillId="0" borderId="0" xfId="0" applyFont="1" applyFill="1" applyBorder="1"/>
    <xf numFmtId="9" fontId="44" fillId="0" borderId="0" xfId="0" applyNumberFormat="1" applyFont="1" applyFill="1" applyBorder="1" applyAlignment="1">
      <alignment vertical="top"/>
    </xf>
    <xf numFmtId="0" fontId="45" fillId="0" borderId="0" xfId="0" applyFont="1" applyAlignment="1">
      <alignment horizontal="centerContinuous" vertical="top"/>
    </xf>
    <xf numFmtId="165" fontId="46" fillId="0" borderId="0" xfId="0" applyNumberFormat="1" applyFont="1" applyAlignment="1">
      <alignment horizontal="right" vertical="top"/>
    </xf>
    <xf numFmtId="0" fontId="46" fillId="0" borderId="0" xfId="0" applyFont="1" applyAlignment="1">
      <alignment horizontal="centerContinuous" vertical="top"/>
    </xf>
    <xf numFmtId="0" fontId="26" fillId="0" borderId="1" xfId="0" quotePrefix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7" fillId="9" borderId="0" xfId="0" applyFont="1" applyFill="1"/>
    <xf numFmtId="0" fontId="48" fillId="9" borderId="0" xfId="0" applyFont="1" applyFill="1"/>
    <xf numFmtId="0" fontId="49" fillId="9" borderId="0" xfId="0" applyFont="1" applyFill="1"/>
    <xf numFmtId="0" fontId="51" fillId="9" borderId="0" xfId="0" applyFont="1" applyFill="1"/>
    <xf numFmtId="0" fontId="23" fillId="10" borderId="0" xfId="0" applyFont="1" applyFill="1"/>
    <xf numFmtId="0" fontId="0" fillId="10" borderId="0" xfId="0" applyFill="1"/>
    <xf numFmtId="0" fontId="22" fillId="10" borderId="0" xfId="0" applyFont="1" applyFill="1"/>
    <xf numFmtId="14" fontId="3" fillId="0" borderId="0" xfId="0" applyNumberFormat="1" applyFont="1"/>
    <xf numFmtId="0" fontId="52" fillId="0" borderId="0" xfId="0" applyFont="1"/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9" xfId="0" applyNumberFormat="1" applyFill="1" applyBorder="1"/>
    <xf numFmtId="3" fontId="26" fillId="5" borderId="1" xfId="0" applyNumberFormat="1" applyFont="1" applyFill="1" applyBorder="1" applyAlignment="1">
      <alignment vertical="center"/>
    </xf>
    <xf numFmtId="3" fontId="26" fillId="0" borderId="0" xfId="0" applyNumberFormat="1" applyFont="1" applyAlignment="1">
      <alignment vertical="top"/>
    </xf>
    <xf numFmtId="3" fontId="25" fillId="0" borderId="0" xfId="0" applyNumberFormat="1" applyFont="1"/>
    <xf numFmtId="0" fontId="0" fillId="0" borderId="0" xfId="0" applyAlignment="1">
      <alignment horizontal="left" vertical="top"/>
    </xf>
    <xf numFmtId="0" fontId="53" fillId="11" borderId="10" xfId="0" applyFont="1" applyFill="1" applyBorder="1" applyAlignment="1">
      <alignment horizontal="right" vertical="top" wrapText="1"/>
    </xf>
    <xf numFmtId="0" fontId="0" fillId="11" borderId="12" xfId="0" applyFill="1" applyBorder="1" applyAlignment="1">
      <alignment horizontal="left" vertical="top"/>
    </xf>
    <xf numFmtId="0" fontId="54" fillId="11" borderId="13" xfId="0" applyFont="1" applyFill="1" applyBorder="1" applyAlignment="1">
      <alignment horizontal="left" vertical="top"/>
    </xf>
    <xf numFmtId="0" fontId="0" fillId="11" borderId="14" xfId="0" applyFill="1" applyBorder="1" applyAlignment="1">
      <alignment horizontal="left" vertical="top"/>
    </xf>
    <xf numFmtId="0" fontId="55" fillId="11" borderId="13" xfId="0" applyFont="1" applyFill="1" applyBorder="1" applyAlignment="1">
      <alignment horizontal="left" vertical="top"/>
    </xf>
    <xf numFmtId="0" fontId="53" fillId="11" borderId="13" xfId="0" applyFont="1" applyFill="1" applyBorder="1" applyAlignment="1">
      <alignment horizontal="left" vertical="top" wrapText="1"/>
    </xf>
    <xf numFmtId="0" fontId="56" fillId="11" borderId="12" xfId="0" applyFont="1" applyFill="1" applyBorder="1" applyAlignment="1">
      <alignment horizontal="left" vertical="top" wrapText="1"/>
    </xf>
    <xf numFmtId="0" fontId="56" fillId="11" borderId="10" xfId="0" applyFont="1" applyFill="1" applyBorder="1" applyAlignment="1">
      <alignment horizontal="left" vertical="top"/>
    </xf>
    <xf numFmtId="0" fontId="53" fillId="11" borderId="17" xfId="0" applyFont="1" applyFill="1" applyBorder="1" applyAlignment="1">
      <alignment horizontal="left" vertical="top" wrapText="1"/>
    </xf>
    <xf numFmtId="0" fontId="53" fillId="11" borderId="19" xfId="0" applyFont="1" applyFill="1" applyBorder="1" applyAlignment="1">
      <alignment horizontal="left" vertical="top" wrapText="1"/>
    </xf>
    <xf numFmtId="0" fontId="53" fillId="11" borderId="19" xfId="0" applyFont="1" applyFill="1" applyBorder="1" applyAlignment="1">
      <alignment horizontal="right" vertical="top" wrapText="1"/>
    </xf>
    <xf numFmtId="0" fontId="53" fillId="11" borderId="20" xfId="0" applyFont="1" applyFill="1" applyBorder="1" applyAlignment="1">
      <alignment horizontal="right" vertical="top" wrapText="1"/>
    </xf>
    <xf numFmtId="0" fontId="0" fillId="11" borderId="21" xfId="0" applyFill="1" applyBorder="1" applyAlignment="1">
      <alignment horizontal="left" vertical="center" wrapText="1"/>
    </xf>
    <xf numFmtId="0" fontId="0" fillId="11" borderId="23" xfId="0" applyFill="1" applyBorder="1" applyAlignment="1">
      <alignment horizontal="left" vertical="center" wrapText="1"/>
    </xf>
    <xf numFmtId="0" fontId="57" fillId="12" borderId="10" xfId="0" applyFont="1" applyFill="1" applyBorder="1" applyAlignment="1">
      <alignment horizontal="left" vertical="top"/>
    </xf>
    <xf numFmtId="0" fontId="57" fillId="12" borderId="12" xfId="0" applyFont="1" applyFill="1" applyBorder="1" applyAlignment="1">
      <alignment horizontal="left" vertical="top" wrapText="1"/>
    </xf>
    <xf numFmtId="0" fontId="56" fillId="11" borderId="13" xfId="0" applyFont="1" applyFill="1" applyBorder="1" applyAlignment="1">
      <alignment horizontal="left" vertical="top"/>
    </xf>
    <xf numFmtId="0" fontId="56" fillId="11" borderId="14" xfId="0" applyFont="1" applyFill="1" applyBorder="1" applyAlignment="1">
      <alignment horizontal="left" vertical="top" wrapText="1"/>
    </xf>
    <xf numFmtId="0" fontId="58" fillId="11" borderId="19" xfId="0" applyFont="1" applyFill="1" applyBorder="1" applyAlignment="1">
      <alignment horizontal="center" vertical="center" wrapText="1"/>
    </xf>
    <xf numFmtId="168" fontId="56" fillId="11" borderId="12" xfId="0" applyNumberFormat="1" applyFont="1" applyFill="1" applyBorder="1" applyAlignment="1">
      <alignment horizontal="center" vertical="top" wrapText="1"/>
    </xf>
    <xf numFmtId="14" fontId="59" fillId="11" borderId="19" xfId="0" applyNumberFormat="1" applyFont="1" applyFill="1" applyBorder="1" applyAlignment="1">
      <alignment horizontal="right" vertical="top" wrapText="1"/>
    </xf>
    <xf numFmtId="0" fontId="61" fillId="11" borderId="19" xfId="0" applyFont="1" applyFill="1" applyBorder="1" applyAlignment="1">
      <alignment horizontal="right" vertical="top" wrapText="1"/>
    </xf>
    <xf numFmtId="0" fontId="62" fillId="11" borderId="19" xfId="0" applyFont="1" applyFill="1" applyBorder="1" applyAlignment="1">
      <alignment horizontal="right" vertical="top" wrapText="1"/>
    </xf>
    <xf numFmtId="0" fontId="63" fillId="11" borderId="11" xfId="0" applyFont="1" applyFill="1" applyBorder="1" applyAlignment="1">
      <alignment horizontal="left" vertical="top"/>
    </xf>
    <xf numFmtId="0" fontId="63" fillId="11" borderId="0" xfId="0" applyFont="1" applyFill="1" applyAlignment="1">
      <alignment horizontal="left" vertical="top"/>
    </xf>
    <xf numFmtId="0" fontId="64" fillId="11" borderId="11" xfId="0" applyFont="1" applyFill="1" applyBorder="1" applyAlignment="1">
      <alignment horizontal="left" vertical="top" wrapText="1"/>
    </xf>
    <xf numFmtId="0" fontId="64" fillId="11" borderId="0" xfId="0" applyFont="1" applyFill="1" applyBorder="1" applyAlignment="1">
      <alignment horizontal="left" vertical="top" wrapText="1"/>
    </xf>
    <xf numFmtId="0" fontId="63" fillId="11" borderId="22" xfId="0" applyFont="1" applyFill="1" applyBorder="1" applyAlignment="1">
      <alignment horizontal="left" vertical="center" wrapText="1"/>
    </xf>
    <xf numFmtId="0" fontId="66" fillId="12" borderId="11" xfId="0" applyFont="1" applyFill="1" applyBorder="1" applyAlignment="1">
      <alignment horizontal="left" vertical="top" wrapText="1"/>
    </xf>
    <xf numFmtId="0" fontId="63" fillId="0" borderId="0" xfId="0" applyFont="1" applyAlignment="1">
      <alignment horizontal="left" vertical="top"/>
    </xf>
    <xf numFmtId="0" fontId="67" fillId="11" borderId="11" xfId="0" applyFont="1" applyFill="1" applyBorder="1" applyAlignment="1">
      <alignment horizontal="left" vertical="top"/>
    </xf>
    <xf numFmtId="0" fontId="67" fillId="11" borderId="0" xfId="0" applyFont="1" applyFill="1" applyAlignment="1">
      <alignment horizontal="left" vertical="top"/>
    </xf>
    <xf numFmtId="0" fontId="68" fillId="11" borderId="11" xfId="0" applyFont="1" applyFill="1" applyBorder="1" applyAlignment="1">
      <alignment horizontal="left" vertical="top" wrapText="1"/>
    </xf>
    <xf numFmtId="0" fontId="61" fillId="11" borderId="16" xfId="0" applyFont="1" applyFill="1" applyBorder="1" applyAlignment="1">
      <alignment horizontal="left" vertical="top" wrapText="1"/>
    </xf>
    <xf numFmtId="0" fontId="61" fillId="11" borderId="18" xfId="0" applyFont="1" applyFill="1" applyBorder="1" applyAlignment="1">
      <alignment horizontal="left" vertical="top" wrapText="1"/>
    </xf>
    <xf numFmtId="0" fontId="61" fillId="11" borderId="17" xfId="0" applyFont="1" applyFill="1" applyBorder="1" applyAlignment="1">
      <alignment horizontal="left" vertical="top" wrapText="1"/>
    </xf>
    <xf numFmtId="0" fontId="68" fillId="11" borderId="0" xfId="0" applyFont="1" applyFill="1" applyBorder="1" applyAlignment="1">
      <alignment horizontal="left" vertical="top" wrapText="1"/>
    </xf>
    <xf numFmtId="0" fontId="67" fillId="11" borderId="22" xfId="0" applyFont="1" applyFill="1" applyBorder="1" applyAlignment="1">
      <alignment horizontal="left" vertical="center" wrapText="1"/>
    </xf>
    <xf numFmtId="0" fontId="69" fillId="12" borderId="11" xfId="0" applyFont="1" applyFill="1" applyBorder="1" applyAlignment="1">
      <alignment horizontal="left" vertical="top" wrapText="1"/>
    </xf>
    <xf numFmtId="0" fontId="67" fillId="0" borderId="0" xfId="0" applyFont="1" applyAlignment="1">
      <alignment horizontal="left" vertical="top"/>
    </xf>
    <xf numFmtId="0" fontId="65" fillId="11" borderId="16" xfId="0" applyFont="1" applyFill="1" applyBorder="1" applyAlignment="1">
      <alignment horizontal="right" vertical="top" wrapText="1"/>
    </xf>
    <xf numFmtId="0" fontId="65" fillId="11" borderId="18" xfId="0" applyFont="1" applyFill="1" applyBorder="1" applyAlignment="1">
      <alignment horizontal="right" vertical="top" wrapText="1"/>
    </xf>
    <xf numFmtId="0" fontId="65" fillId="11" borderId="18" xfId="0" applyFont="1" applyFill="1" applyBorder="1" applyAlignment="1">
      <alignment horizontal="center" vertical="top" wrapText="1"/>
    </xf>
    <xf numFmtId="0" fontId="65" fillId="11" borderId="16" xfId="0" applyFont="1" applyFill="1" applyBorder="1" applyAlignment="1">
      <alignment horizontal="center" vertical="top" wrapText="1"/>
    </xf>
    <xf numFmtId="0" fontId="61" fillId="11" borderId="15" xfId="0" applyFont="1" applyFill="1" applyBorder="1" applyAlignment="1">
      <alignment horizontal="center" vertical="top" wrapText="1"/>
    </xf>
    <xf numFmtId="0" fontId="61" fillId="11" borderId="17" xfId="0" applyFont="1" applyFill="1" applyBorder="1" applyAlignment="1">
      <alignment horizontal="center" vertical="top" wrapText="1"/>
    </xf>
    <xf numFmtId="3" fontId="60" fillId="0" borderId="0" xfId="0" applyNumberFormat="1" applyFont="1"/>
    <xf numFmtId="0" fontId="61" fillId="11" borderId="20" xfId="0" applyFont="1" applyFill="1" applyBorder="1" applyAlignment="1">
      <alignment horizontal="right" vertical="top" wrapText="1"/>
    </xf>
    <xf numFmtId="0" fontId="61" fillId="5" borderId="15" xfId="0" applyFont="1" applyFill="1" applyBorder="1" applyAlignment="1">
      <alignment horizontal="center" vertical="top" wrapText="1"/>
    </xf>
    <xf numFmtId="0" fontId="61" fillId="5" borderId="16" xfId="0" applyFont="1" applyFill="1" applyBorder="1" applyAlignment="1">
      <alignment horizontal="left" vertical="top" wrapText="1"/>
    </xf>
    <xf numFmtId="0" fontId="65" fillId="5" borderId="16" xfId="0" applyFont="1" applyFill="1" applyBorder="1" applyAlignment="1">
      <alignment horizontal="center" vertical="top" wrapText="1"/>
    </xf>
    <xf numFmtId="0" fontId="61" fillId="5" borderId="19" xfId="0" applyFont="1" applyFill="1" applyBorder="1" applyAlignment="1">
      <alignment horizontal="right" vertical="top" wrapText="1"/>
    </xf>
    <xf numFmtId="0" fontId="62" fillId="5" borderId="19" xfId="0" applyFont="1" applyFill="1" applyBorder="1" applyAlignment="1">
      <alignment horizontal="right" vertical="top" wrapText="1"/>
    </xf>
    <xf numFmtId="0" fontId="61" fillId="5" borderId="17" xfId="0" applyFont="1" applyFill="1" applyBorder="1" applyAlignment="1">
      <alignment horizontal="center" vertical="top" wrapText="1"/>
    </xf>
    <xf numFmtId="0" fontId="61" fillId="5" borderId="18" xfId="0" applyFont="1" applyFill="1" applyBorder="1" applyAlignment="1">
      <alignment horizontal="left" vertical="top" wrapText="1"/>
    </xf>
    <xf numFmtId="0" fontId="65" fillId="5" borderId="18" xfId="0" applyFont="1" applyFill="1" applyBorder="1" applyAlignment="1">
      <alignment horizontal="center" vertical="top" wrapText="1"/>
    </xf>
    <xf numFmtId="0" fontId="61" fillId="5" borderId="20" xfId="0" applyFont="1" applyFill="1" applyBorder="1" applyAlignment="1">
      <alignment horizontal="right" vertical="top" wrapText="1"/>
    </xf>
    <xf numFmtId="0" fontId="9" fillId="13" borderId="1" xfId="0" applyFont="1" applyFill="1" applyBorder="1"/>
    <xf numFmtId="0" fontId="71" fillId="0" borderId="0" xfId="0" applyFont="1"/>
    <xf numFmtId="0" fontId="72" fillId="0" borderId="0" xfId="0" applyFont="1"/>
    <xf numFmtId="0" fontId="77" fillId="0" borderId="0" xfId="0" applyFont="1"/>
    <xf numFmtId="0" fontId="79" fillId="0" borderId="0" xfId="0" applyFont="1"/>
    <xf numFmtId="0" fontId="72" fillId="5" borderId="0" xfId="0" applyFont="1" applyFill="1"/>
    <xf numFmtId="0" fontId="0" fillId="15" borderId="0" xfId="0" applyFill="1"/>
    <xf numFmtId="0" fontId="60" fillId="15" borderId="0" xfId="0" applyFont="1" applyFill="1"/>
    <xf numFmtId="0" fontId="82" fillId="15" borderId="0" xfId="0" applyFont="1" applyFill="1" applyAlignment="1">
      <alignment vertical="center"/>
    </xf>
    <xf numFmtId="0" fontId="72" fillId="0" borderId="0" xfId="0" applyFont="1" applyAlignment="1">
      <alignment horizontal="left" wrapText="1"/>
    </xf>
    <xf numFmtId="0" fontId="84" fillId="0" borderId="0" xfId="0" applyFont="1"/>
    <xf numFmtId="0" fontId="70" fillId="0" borderId="0" xfId="2"/>
    <xf numFmtId="0" fontId="86" fillId="0" borderId="0" xfId="0" applyFont="1"/>
    <xf numFmtId="0" fontId="88" fillId="0" borderId="0" xfId="0" applyFont="1"/>
    <xf numFmtId="0" fontId="60" fillId="0" borderId="0" xfId="0" applyFont="1"/>
    <xf numFmtId="0" fontId="90" fillId="0" borderId="0" xfId="0" applyFont="1"/>
    <xf numFmtId="0" fontId="91" fillId="17" borderId="0" xfId="0" applyFont="1" applyFill="1"/>
    <xf numFmtId="0" fontId="92" fillId="17" borderId="0" xfId="0" applyFont="1" applyFill="1"/>
    <xf numFmtId="0" fontId="93" fillId="0" borderId="2" xfId="0" applyFont="1" applyBorder="1" applyAlignment="1">
      <alignment horizontal="center" vertical="center" wrapText="1"/>
    </xf>
    <xf numFmtId="0" fontId="94" fillId="16" borderId="0" xfId="0" applyFont="1" applyFill="1" applyAlignment="1">
      <alignment horizontal="center"/>
    </xf>
    <xf numFmtId="3" fontId="0" fillId="0" borderId="0" xfId="0" applyNumberFormat="1"/>
    <xf numFmtId="168" fontId="56" fillId="11" borderId="0" xfId="0" applyNumberFormat="1" applyFont="1" applyFill="1" applyBorder="1" applyAlignment="1">
      <alignment horizontal="center" vertical="top" wrapText="1"/>
    </xf>
    <xf numFmtId="0" fontId="61" fillId="11" borderId="0" xfId="0" applyFont="1" applyFill="1" applyBorder="1" applyAlignment="1">
      <alignment horizontal="right" vertical="top" wrapText="1"/>
    </xf>
    <xf numFmtId="0" fontId="62" fillId="11" borderId="0" xfId="0" applyFont="1" applyFill="1" applyBorder="1" applyAlignment="1">
      <alignment horizontal="right" vertical="top" wrapText="1"/>
    </xf>
    <xf numFmtId="14" fontId="59" fillId="11" borderId="0" xfId="0" applyNumberFormat="1" applyFont="1" applyFill="1" applyBorder="1" applyAlignment="1">
      <alignment horizontal="right" vertical="top" wrapText="1"/>
    </xf>
    <xf numFmtId="0" fontId="56" fillId="11" borderId="0" xfId="0" applyFont="1" applyFill="1" applyBorder="1" applyAlignment="1">
      <alignment horizontal="left" vertical="top" wrapText="1"/>
    </xf>
    <xf numFmtId="0" fontId="58" fillId="11" borderId="0" xfId="0" applyFont="1" applyFill="1" applyBorder="1" applyAlignment="1">
      <alignment horizontal="center" vertical="center" wrapText="1"/>
    </xf>
    <xf numFmtId="0" fontId="53" fillId="11" borderId="0" xfId="0" applyFont="1" applyFill="1" applyBorder="1" applyAlignment="1">
      <alignment horizontal="left" vertical="top" wrapText="1"/>
    </xf>
    <xf numFmtId="0" fontId="53" fillId="11" borderId="0" xfId="0" applyFont="1" applyFill="1" applyBorder="1" applyAlignment="1">
      <alignment horizontal="right" vertical="top" wrapText="1"/>
    </xf>
    <xf numFmtId="0" fontId="0" fillId="11" borderId="0" xfId="0" applyFill="1" applyBorder="1" applyAlignment="1">
      <alignment horizontal="left" vertical="center" wrapText="1"/>
    </xf>
    <xf numFmtId="0" fontId="95" fillId="16" borderId="1" xfId="0" applyFont="1" applyFill="1" applyBorder="1"/>
    <xf numFmtId="0" fontId="95" fillId="16" borderId="1" xfId="0" applyFont="1" applyFill="1" applyBorder="1" applyAlignment="1">
      <alignment horizontal="center"/>
    </xf>
    <xf numFmtId="0" fontId="61" fillId="13" borderId="19" xfId="0" applyFont="1" applyFill="1" applyBorder="1" applyAlignment="1">
      <alignment horizontal="right" vertical="top" wrapText="1"/>
    </xf>
    <xf numFmtId="0" fontId="61" fillId="13" borderId="0" xfId="0" applyFont="1" applyFill="1" applyBorder="1" applyAlignment="1">
      <alignment horizontal="right" vertical="top" wrapText="1"/>
    </xf>
    <xf numFmtId="0" fontId="0" fillId="18" borderId="0" xfId="0" applyFill="1"/>
    <xf numFmtId="0" fontId="96" fillId="18" borderId="0" xfId="0" applyFont="1" applyFill="1"/>
    <xf numFmtId="0" fontId="97" fillId="10" borderId="0" xfId="0" applyFont="1" applyFill="1"/>
    <xf numFmtId="0" fontId="98" fillId="10" borderId="0" xfId="0" applyFont="1" applyFill="1"/>
    <xf numFmtId="0" fontId="99" fillId="10" borderId="0" xfId="0" applyFont="1" applyFill="1"/>
    <xf numFmtId="14" fontId="99" fillId="10" borderId="0" xfId="0" applyNumberFormat="1" applyFont="1" applyFill="1"/>
    <xf numFmtId="0" fontId="101" fillId="10" borderId="0" xfId="0" applyFont="1" applyFill="1" applyAlignment="1">
      <alignment vertical="center"/>
    </xf>
    <xf numFmtId="0" fontId="102" fillId="10" borderId="0" xfId="0" applyFont="1" applyFill="1"/>
    <xf numFmtId="0" fontId="103" fillId="10" borderId="0" xfId="0" applyFont="1" applyFill="1"/>
    <xf numFmtId="0" fontId="104" fillId="10" borderId="0" xfId="0" applyFont="1" applyFill="1"/>
    <xf numFmtId="0" fontId="16" fillId="10" borderId="0" xfId="0" applyFont="1" applyFill="1"/>
    <xf numFmtId="0" fontId="105" fillId="10" borderId="0" xfId="0" applyFont="1" applyFill="1"/>
    <xf numFmtId="14" fontId="105" fillId="10" borderId="0" xfId="0" applyNumberFormat="1" applyFont="1" applyFill="1"/>
    <xf numFmtId="168" fontId="16" fillId="10" borderId="0" xfId="0" applyNumberFormat="1" applyFont="1" applyFill="1" applyAlignment="1">
      <alignment horizontal="center"/>
    </xf>
    <xf numFmtId="0" fontId="0" fillId="0" borderId="0" xfId="0" applyAlignment="1"/>
    <xf numFmtId="0" fontId="107" fillId="0" borderId="0" xfId="0" applyFont="1" applyAlignment="1"/>
    <xf numFmtId="0" fontId="106" fillId="0" borderId="0" xfId="0" applyFont="1" applyAlignment="1">
      <alignment horizontal="left" vertical="center"/>
    </xf>
    <xf numFmtId="0" fontId="108" fillId="0" borderId="0" xfId="0" applyFont="1" applyAlignment="1">
      <alignment horizontal="left" vertical="center"/>
    </xf>
    <xf numFmtId="0" fontId="112" fillId="0" borderId="0" xfId="0" applyFont="1"/>
    <xf numFmtId="0" fontId="113" fillId="10" borderId="0" xfId="0" applyFont="1" applyFill="1"/>
    <xf numFmtId="0" fontId="105" fillId="10" borderId="0" xfId="0" applyFont="1" applyFill="1" applyAlignment="1">
      <alignment horizontal="right"/>
    </xf>
    <xf numFmtId="0" fontId="90" fillId="10" borderId="0" xfId="0" applyFont="1" applyFill="1"/>
    <xf numFmtId="0" fontId="94" fillId="18" borderId="0" xfId="0" applyFont="1" applyFill="1"/>
    <xf numFmtId="0" fontId="91" fillId="18" borderId="0" xfId="0" applyFont="1" applyFill="1" applyAlignment="1">
      <alignment horizontal="right"/>
    </xf>
    <xf numFmtId="14" fontId="91" fillId="18" borderId="0" xfId="0" applyNumberFormat="1" applyFont="1" applyFill="1"/>
    <xf numFmtId="17" fontId="89" fillId="10" borderId="0" xfId="0" applyNumberFormat="1" applyFont="1" applyFill="1" applyAlignment="1">
      <alignment horizontal="center"/>
    </xf>
    <xf numFmtId="0" fontId="114" fillId="0" borderId="0" xfId="0" applyFont="1"/>
    <xf numFmtId="0" fontId="114" fillId="0" borderId="0" xfId="0" applyFont="1" applyAlignment="1">
      <alignment horizontal="left" indent="2"/>
    </xf>
    <xf numFmtId="0" fontId="116" fillId="5" borderId="0" xfId="2" applyFont="1" applyFill="1"/>
    <xf numFmtId="0" fontId="0" fillId="19" borderId="0" xfId="0" applyFill="1"/>
    <xf numFmtId="0" fontId="60" fillId="19" borderId="0" xfId="0" applyFont="1" applyFill="1"/>
    <xf numFmtId="0" fontId="50" fillId="19" borderId="0" xfId="0" applyFont="1" applyFill="1"/>
    <xf numFmtId="0" fontId="47" fillId="19" borderId="0" xfId="0" applyFont="1" applyFill="1"/>
    <xf numFmtId="0" fontId="117" fillId="19" borderId="0" xfId="0" applyFont="1" applyFill="1"/>
    <xf numFmtId="0" fontId="49" fillId="19" borderId="0" xfId="0" applyFont="1" applyFill="1"/>
    <xf numFmtId="0" fontId="51" fillId="19" borderId="0" xfId="0" applyFont="1" applyFill="1"/>
    <xf numFmtId="0" fontId="118" fillId="19" borderId="0" xfId="0" applyFont="1" applyFill="1"/>
    <xf numFmtId="0" fontId="119" fillId="19" borderId="0" xfId="0" applyFont="1" applyFill="1"/>
    <xf numFmtId="0" fontId="120" fillId="19" borderId="0" xfId="0" applyFont="1" applyFill="1"/>
    <xf numFmtId="0" fontId="121" fillId="19" borderId="0" xfId="0" applyFont="1" applyFill="1"/>
    <xf numFmtId="0" fontId="121" fillId="19" borderId="0" xfId="0" applyFont="1" applyFill="1" applyAlignment="1">
      <alignment horizontal="left" indent="5"/>
    </xf>
    <xf numFmtId="0" fontId="7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2" fillId="20" borderId="0" xfId="0" applyFont="1" applyFill="1"/>
    <xf numFmtId="0" fontId="80" fillId="21" borderId="0" xfId="0" applyFont="1" applyFill="1"/>
    <xf numFmtId="0" fontId="72" fillId="21" borderId="0" xfId="0" applyFont="1" applyFill="1"/>
    <xf numFmtId="0" fontId="80" fillId="22" borderId="0" xfId="0" applyFont="1" applyFill="1"/>
    <xf numFmtId="0" fontId="72" fillId="22" borderId="0" xfId="0" applyFont="1" applyFill="1"/>
    <xf numFmtId="0" fontId="72" fillId="14" borderId="0" xfId="0" applyFont="1" applyFill="1"/>
    <xf numFmtId="0" fontId="74" fillId="14" borderId="0" xfId="0" applyFont="1" applyFill="1"/>
    <xf numFmtId="0" fontId="72" fillId="23" borderId="0" xfId="0" applyFont="1" applyFill="1"/>
    <xf numFmtId="14" fontId="72" fillId="23" borderId="0" xfId="0" applyNumberFormat="1" applyFont="1" applyFill="1"/>
    <xf numFmtId="0" fontId="87" fillId="23" borderId="0" xfId="0" applyFont="1" applyFill="1"/>
    <xf numFmtId="0" fontId="72" fillId="0" borderId="0" xfId="0" applyFont="1" applyFill="1"/>
    <xf numFmtId="0" fontId="84" fillId="24" borderId="0" xfId="0" applyFont="1" applyFill="1" applyAlignment="1">
      <alignment vertical="center"/>
    </xf>
    <xf numFmtId="0" fontId="72" fillId="24" borderId="0" xfId="0" applyFont="1" applyFill="1" applyAlignment="1">
      <alignment vertical="center"/>
    </xf>
    <xf numFmtId="0" fontId="72" fillId="24" borderId="0" xfId="0" applyFont="1" applyFill="1"/>
    <xf numFmtId="14" fontId="124" fillId="0" borderId="0" xfId="0" applyNumberFormat="1" applyFont="1"/>
    <xf numFmtId="0" fontId="124" fillId="0" borderId="0" xfId="0" applyFont="1" applyAlignment="1">
      <alignment horizontal="right"/>
    </xf>
    <xf numFmtId="0" fontId="80" fillId="14" borderId="0" xfId="0" applyFont="1" applyFill="1"/>
    <xf numFmtId="0" fontId="80" fillId="23" borderId="0" xfId="0" applyFont="1" applyFill="1"/>
    <xf numFmtId="0" fontId="73" fillId="21" borderId="0" xfId="0" applyFont="1" applyFill="1" applyAlignment="1">
      <alignment horizontal="left" vertical="center" indent="2"/>
    </xf>
    <xf numFmtId="0" fontId="72" fillId="0" borderId="0" xfId="0" applyFont="1" applyAlignment="1">
      <alignment wrapText="1"/>
    </xf>
    <xf numFmtId="0" fontId="73" fillId="0" borderId="0" xfId="0" applyFont="1" applyFill="1"/>
    <xf numFmtId="0" fontId="129" fillId="0" borderId="0" xfId="0" applyFont="1"/>
    <xf numFmtId="0" fontId="130" fillId="0" borderId="0" xfId="0" applyFont="1"/>
    <xf numFmtId="0" fontId="131" fillId="0" borderId="0" xfId="0" applyFont="1"/>
    <xf numFmtId="0" fontId="70" fillId="0" borderId="0" xfId="2" applyAlignment="1">
      <alignment wrapText="1"/>
    </xf>
    <xf numFmtId="0" fontId="133" fillId="0" borderId="0" xfId="0" applyFont="1"/>
    <xf numFmtId="0" fontId="134" fillId="0" borderId="0" xfId="0" applyFont="1"/>
    <xf numFmtId="0" fontId="135" fillId="0" borderId="0" xfId="0" applyFont="1" applyAlignment="1">
      <alignment horizontal="center" wrapText="1"/>
    </xf>
    <xf numFmtId="0" fontId="136" fillId="25" borderId="0" xfId="0" applyFont="1" applyFill="1" applyAlignment="1">
      <alignment horizontal="center" wrapText="1"/>
    </xf>
    <xf numFmtId="0" fontId="134" fillId="2" borderId="0" xfId="0" applyFont="1" applyFill="1"/>
    <xf numFmtId="1" fontId="135" fillId="2" borderId="0" xfId="0" applyNumberFormat="1" applyFont="1" applyFill="1"/>
    <xf numFmtId="14" fontId="134" fillId="2" borderId="0" xfId="0" applyNumberFormat="1" applyFont="1" applyFill="1"/>
    <xf numFmtId="0" fontId="72" fillId="26" borderId="0" xfId="0" applyFont="1" applyFill="1"/>
    <xf numFmtId="0" fontId="70" fillId="26" borderId="0" xfId="2" applyFill="1"/>
    <xf numFmtId="0" fontId="0" fillId="26" borderId="0" xfId="0" applyFill="1"/>
    <xf numFmtId="0" fontId="47" fillId="26" borderId="0" xfId="0" applyFont="1" applyFill="1"/>
    <xf numFmtId="0" fontId="137" fillId="26" borderId="0" xfId="0" applyFont="1" applyFill="1"/>
    <xf numFmtId="0" fontId="138" fillId="0" borderId="0" xfId="0" applyFont="1" applyAlignment="1">
      <alignment vertical="top"/>
    </xf>
    <xf numFmtId="3" fontId="138" fillId="0" borderId="0" xfId="0" applyNumberFormat="1" applyFont="1" applyAlignment="1">
      <alignment vertical="top"/>
    </xf>
    <xf numFmtId="0" fontId="139" fillId="0" borderId="0" xfId="0" applyFont="1" applyAlignment="1">
      <alignment horizontal="centerContinuous"/>
    </xf>
    <xf numFmtId="3" fontId="139" fillId="7" borderId="30" xfId="0" applyNumberFormat="1" applyFont="1" applyFill="1" applyBorder="1" applyAlignment="1">
      <alignment vertical="top"/>
    </xf>
    <xf numFmtId="0" fontId="138" fillId="0" borderId="32" xfId="0" applyFont="1" applyBorder="1" applyAlignment="1">
      <alignment vertical="top"/>
    </xf>
    <xf numFmtId="0" fontId="138" fillId="0" borderId="33" xfId="0" applyFont="1" applyBorder="1" applyAlignment="1">
      <alignment vertical="top"/>
    </xf>
    <xf numFmtId="4" fontId="138" fillId="0" borderId="33" xfId="0" applyNumberFormat="1" applyFont="1" applyBorder="1" applyAlignment="1">
      <alignment vertical="top"/>
    </xf>
    <xf numFmtId="4" fontId="138" fillId="0" borderId="30" xfId="0" applyNumberFormat="1" applyFont="1" applyBorder="1" applyAlignment="1">
      <alignment vertical="top"/>
    </xf>
    <xf numFmtId="0" fontId="139" fillId="0" borderId="32" xfId="0" applyFont="1" applyBorder="1" applyAlignment="1">
      <alignment vertical="top"/>
    </xf>
    <xf numFmtId="4" fontId="140" fillId="0" borderId="33" xfId="0" applyNumberFormat="1" applyFont="1" applyBorder="1" applyAlignment="1">
      <alignment vertical="top"/>
    </xf>
    <xf numFmtId="0" fontId="138" fillId="0" borderId="29" xfId="0" applyFont="1" applyBorder="1" applyAlignment="1">
      <alignment vertical="top"/>
    </xf>
    <xf numFmtId="0" fontId="138" fillId="0" borderId="30" xfId="0" applyFont="1" applyBorder="1" applyAlignment="1">
      <alignment vertical="top"/>
    </xf>
    <xf numFmtId="3" fontId="138" fillId="0" borderId="30" xfId="0" applyNumberFormat="1" applyFont="1" applyBorder="1" applyAlignment="1">
      <alignment vertical="top"/>
    </xf>
    <xf numFmtId="4" fontId="138" fillId="0" borderId="31" xfId="0" applyNumberFormat="1" applyFont="1" applyBorder="1" applyAlignment="1">
      <alignment vertical="top"/>
    </xf>
    <xf numFmtId="4" fontId="139" fillId="7" borderId="30" xfId="0" applyNumberFormat="1" applyFont="1" applyFill="1" applyBorder="1" applyAlignment="1">
      <alignment vertical="top"/>
    </xf>
    <xf numFmtId="4" fontId="139" fillId="7" borderId="31" xfId="0" applyNumberFormat="1" applyFont="1" applyFill="1" applyBorder="1" applyAlignment="1">
      <alignment vertical="top"/>
    </xf>
    <xf numFmtId="3" fontId="139" fillId="0" borderId="0" xfId="0" applyNumberFormat="1" applyFont="1" applyAlignment="1">
      <alignment horizontal="centerContinuous"/>
    </xf>
    <xf numFmtId="0" fontId="70" fillId="0" borderId="0" xfId="2" applyAlignment="1">
      <alignment vertical="top"/>
    </xf>
    <xf numFmtId="0" fontId="143" fillId="0" borderId="32" xfId="0" applyFont="1" applyBorder="1" applyAlignment="1">
      <alignment vertical="top"/>
    </xf>
    <xf numFmtId="0" fontId="61" fillId="13" borderId="20" xfId="0" applyFont="1" applyFill="1" applyBorder="1" applyAlignment="1">
      <alignment horizontal="right" vertical="top" wrapText="1"/>
    </xf>
    <xf numFmtId="0" fontId="62" fillId="0" borderId="19" xfId="0" applyFont="1" applyFill="1" applyBorder="1" applyAlignment="1">
      <alignment horizontal="right" vertical="top" wrapText="1"/>
    </xf>
    <xf numFmtId="0" fontId="62" fillId="0" borderId="0" xfId="0" applyFont="1" applyFill="1" applyBorder="1" applyAlignment="1">
      <alignment horizontal="right" vertical="top" wrapText="1"/>
    </xf>
    <xf numFmtId="0" fontId="144" fillId="11" borderId="19" xfId="0" applyFont="1" applyFill="1" applyBorder="1" applyAlignment="1">
      <alignment horizontal="right" vertical="top" wrapText="1"/>
    </xf>
    <xf numFmtId="0" fontId="145" fillId="10" borderId="0" xfId="0" applyFont="1" applyFill="1" applyAlignment="1">
      <alignment horizontal="center"/>
    </xf>
    <xf numFmtId="0" fontId="146" fillId="10" borderId="0" xfId="0" applyFont="1" applyFill="1"/>
    <xf numFmtId="0" fontId="100" fillId="10" borderId="0" xfId="0" applyFont="1" applyFill="1" applyAlignment="1">
      <alignment horizontal="left" indent="2"/>
    </xf>
    <xf numFmtId="0" fontId="148" fillId="19" borderId="0" xfId="0" applyFont="1" applyFill="1"/>
    <xf numFmtId="0" fontId="74" fillId="10" borderId="0" xfId="0" applyFont="1" applyFill="1"/>
    <xf numFmtId="0" fontId="149" fillId="10" borderId="0" xfId="0" applyFont="1" applyFill="1"/>
    <xf numFmtId="14" fontId="74" fillId="10" borderId="0" xfId="0" applyNumberFormat="1" applyFont="1" applyFill="1"/>
    <xf numFmtId="0" fontId="151" fillId="0" borderId="0" xfId="0" applyFont="1"/>
    <xf numFmtId="0" fontId="70" fillId="5" borderId="0" xfId="2" applyFill="1"/>
    <xf numFmtId="0" fontId="0" fillId="25" borderId="0" xfId="0" applyFill="1"/>
    <xf numFmtId="0" fontId="83" fillId="25" borderId="0" xfId="0" applyFont="1" applyFill="1" applyAlignment="1">
      <alignment horizontal="right"/>
    </xf>
    <xf numFmtId="0" fontId="60" fillId="25" borderId="0" xfId="0" applyFont="1" applyFill="1"/>
    <xf numFmtId="0" fontId="83" fillId="25" borderId="0" xfId="0" applyFont="1" applyFill="1" applyAlignment="1">
      <alignment horizontal="center"/>
    </xf>
    <xf numFmtId="3" fontId="83" fillId="25" borderId="0" xfId="0" applyNumberFormat="1" applyFont="1" applyFill="1" applyBorder="1" applyAlignment="1">
      <alignment horizontal="center"/>
    </xf>
    <xf numFmtId="3" fontId="2" fillId="5" borderId="5" xfId="0" applyNumberFormat="1" applyFont="1" applyFill="1" applyBorder="1"/>
    <xf numFmtId="3" fontId="2" fillId="5" borderId="6" xfId="0" applyNumberFormat="1" applyFont="1" applyFill="1" applyBorder="1"/>
    <xf numFmtId="3" fontId="0" fillId="5" borderId="0" xfId="0" applyNumberFormat="1" applyFill="1"/>
    <xf numFmtId="0" fontId="0" fillId="0" borderId="30" xfId="0" applyBorder="1"/>
    <xf numFmtId="3" fontId="139" fillId="7" borderId="34" xfId="0" applyNumberFormat="1" applyFont="1" applyFill="1" applyBorder="1" applyAlignment="1">
      <alignment vertical="top"/>
    </xf>
    <xf numFmtId="0" fontId="141" fillId="18" borderId="26" xfId="0" applyFont="1" applyFill="1" applyBorder="1" applyAlignment="1">
      <alignment vertical="top"/>
    </xf>
    <xf numFmtId="0" fontId="141" fillId="18" borderId="27" xfId="0" applyFont="1" applyFill="1" applyBorder="1" applyAlignment="1">
      <alignment horizontal="left"/>
    </xf>
    <xf numFmtId="3" fontId="141" fillId="18" borderId="27" xfId="0" applyNumberFormat="1" applyFont="1" applyFill="1" applyBorder="1" applyAlignment="1">
      <alignment horizontal="left" vertical="top"/>
    </xf>
    <xf numFmtId="0" fontId="142" fillId="18" borderId="27" xfId="0" applyFont="1" applyFill="1" applyBorder="1" applyAlignment="1">
      <alignment horizontal="left"/>
    </xf>
    <xf numFmtId="0" fontId="141" fillId="18" borderId="28" xfId="0" applyFont="1" applyFill="1" applyBorder="1" applyAlignment="1">
      <alignment horizontal="left"/>
    </xf>
    <xf numFmtId="0" fontId="141" fillId="18" borderId="29" xfId="0" applyFont="1" applyFill="1" applyBorder="1" applyAlignment="1">
      <alignment vertical="top"/>
    </xf>
    <xf numFmtId="169" fontId="141" fillId="18" borderId="30" xfId="0" applyNumberFormat="1" applyFont="1" applyFill="1" applyBorder="1" applyAlignment="1">
      <alignment horizontal="left" vertical="top"/>
    </xf>
    <xf numFmtId="3" fontId="141" fillId="18" borderId="30" xfId="0" applyNumberFormat="1" applyFont="1" applyFill="1" applyBorder="1" applyAlignment="1">
      <alignment vertical="top"/>
    </xf>
    <xf numFmtId="17" fontId="141" fillId="18" borderId="30" xfId="0" applyNumberFormat="1" applyFont="1" applyFill="1" applyBorder="1" applyAlignment="1">
      <alignment horizontal="left"/>
    </xf>
    <xf numFmtId="0" fontId="141" fillId="18" borderId="31" xfId="0" applyFont="1" applyFill="1" applyBorder="1" applyAlignment="1">
      <alignment vertical="top"/>
    </xf>
    <xf numFmtId="0" fontId="0" fillId="0" borderId="35" xfId="0" applyBorder="1"/>
    <xf numFmtId="0" fontId="0" fillId="0" borderId="36" xfId="0" applyBorder="1"/>
    <xf numFmtId="0" fontId="138" fillId="0" borderId="36" xfId="0" applyFont="1" applyBorder="1" applyAlignment="1">
      <alignment horizontal="centerContinuous"/>
    </xf>
    <xf numFmtId="0" fontId="0" fillId="0" borderId="37" xfId="0" applyBorder="1"/>
    <xf numFmtId="0" fontId="0" fillId="0" borderId="38" xfId="0" applyBorder="1"/>
    <xf numFmtId="0" fontId="0" fillId="0" borderId="0" xfId="0" applyBorder="1"/>
    <xf numFmtId="0" fontId="138" fillId="0" borderId="0" xfId="0" applyFont="1" applyBorder="1" applyAlignment="1">
      <alignment horizontal="centerContinuous"/>
    </xf>
    <xf numFmtId="0" fontId="139" fillId="0" borderId="0" xfId="0" applyFont="1" applyBorder="1" applyAlignment="1">
      <alignment horizontal="center"/>
    </xf>
    <xf numFmtId="0" fontId="0" fillId="0" borderId="39" xfId="0" applyBorder="1"/>
    <xf numFmtId="3" fontId="138" fillId="0" borderId="0" xfId="0" applyNumberFormat="1" applyFont="1" applyBorder="1" applyAlignment="1">
      <alignment horizontal="centerContinuous"/>
    </xf>
    <xf numFmtId="0" fontId="139" fillId="0" borderId="0" xfId="0" applyFont="1" applyBorder="1" applyAlignment="1"/>
    <xf numFmtId="3" fontId="139" fillId="0" borderId="0" xfId="0" applyNumberFormat="1" applyFont="1" applyBorder="1" applyAlignment="1">
      <alignment horizontal="center"/>
    </xf>
    <xf numFmtId="0" fontId="138" fillId="0" borderId="0" xfId="0" applyFont="1" applyBorder="1" applyAlignment="1">
      <alignment vertical="top"/>
    </xf>
    <xf numFmtId="3" fontId="138" fillId="0" borderId="0" xfId="0" applyNumberFormat="1" applyFont="1" applyBorder="1" applyAlignment="1">
      <alignment vertical="top"/>
    </xf>
    <xf numFmtId="4" fontId="138" fillId="0" borderId="0" xfId="0" applyNumberFormat="1" applyFont="1" applyBorder="1" applyAlignment="1">
      <alignment vertical="top"/>
    </xf>
    <xf numFmtId="0" fontId="2" fillId="0" borderId="0" xfId="0" applyFont="1" applyBorder="1"/>
    <xf numFmtId="0" fontId="143" fillId="0" borderId="0" xfId="0" applyFont="1" applyBorder="1" applyAlignment="1">
      <alignment vertical="top"/>
    </xf>
    <xf numFmtId="3" fontId="143" fillId="0" borderId="0" xfId="0" applyNumberFormat="1" applyFont="1" applyBorder="1" applyAlignment="1">
      <alignment vertical="top"/>
    </xf>
    <xf numFmtId="4" fontId="143" fillId="0" borderId="0" xfId="0" applyNumberFormat="1" applyFont="1" applyBorder="1" applyAlignment="1">
      <alignment vertical="top"/>
    </xf>
    <xf numFmtId="0" fontId="139" fillId="0" borderId="0" xfId="0" applyFont="1" applyBorder="1" applyAlignment="1">
      <alignment vertical="top"/>
    </xf>
    <xf numFmtId="0" fontId="3" fillId="0" borderId="0" xfId="0" applyFont="1" applyBorder="1"/>
    <xf numFmtId="3" fontId="34" fillId="0" borderId="0" xfId="0" applyNumberFormat="1" applyFont="1" applyBorder="1" applyAlignment="1">
      <alignment vertical="top"/>
    </xf>
    <xf numFmtId="3" fontId="139" fillId="0" borderId="0" xfId="0" applyNumberFormat="1" applyFont="1" applyBorder="1" applyAlignment="1">
      <alignment horizontal="centerContinuous"/>
    </xf>
    <xf numFmtId="0" fontId="139" fillId="0" borderId="0" xfId="0" applyFont="1" applyBorder="1" applyAlignment="1">
      <alignment horizontal="centerContinuous"/>
    </xf>
    <xf numFmtId="0" fontId="0" fillId="0" borderId="40" xfId="0" applyBorder="1"/>
    <xf numFmtId="0" fontId="0" fillId="0" borderId="41" xfId="0" applyBorder="1"/>
    <xf numFmtId="0" fontId="139" fillId="0" borderId="41" xfId="0" applyFont="1" applyBorder="1" applyAlignment="1">
      <alignment horizontal="centerContinuous"/>
    </xf>
    <xf numFmtId="0" fontId="0" fillId="0" borderId="42" xfId="0" applyBorder="1"/>
    <xf numFmtId="0" fontId="152" fillId="18" borderId="0" xfId="0" applyFont="1" applyFill="1" applyAlignment="1">
      <alignment horizontal="left" vertical="top"/>
    </xf>
    <xf numFmtId="0" fontId="153" fillId="18" borderId="0" xfId="0" applyFont="1" applyFill="1" applyAlignment="1">
      <alignment horizontal="left" vertical="top"/>
    </xf>
    <xf numFmtId="0" fontId="154" fillId="18" borderId="24" xfId="0" applyFont="1" applyFill="1" applyBorder="1" applyAlignment="1">
      <alignment horizontal="right" vertical="top" indent="3"/>
    </xf>
    <xf numFmtId="0" fontId="156" fillId="27" borderId="0" xfId="0" applyFont="1" applyFill="1"/>
    <xf numFmtId="0" fontId="156" fillId="28" borderId="0" xfId="0" applyFont="1" applyFill="1"/>
    <xf numFmtId="0" fontId="157" fillId="0" borderId="0" xfId="0" applyFont="1"/>
    <xf numFmtId="0" fontId="156" fillId="17" borderId="0" xfId="0" applyFont="1" applyFill="1"/>
    <xf numFmtId="3" fontId="4" fillId="30" borderId="8" xfId="0" applyNumberFormat="1" applyFont="1" applyFill="1" applyBorder="1"/>
    <xf numFmtId="0" fontId="7" fillId="30" borderId="2" xfId="0" applyFont="1" applyFill="1" applyBorder="1" applyAlignment="1">
      <alignment horizontal="center" vertical="center" wrapText="1"/>
    </xf>
    <xf numFmtId="3" fontId="158" fillId="0" borderId="5" xfId="0" applyNumberFormat="1" applyFont="1" applyBorder="1"/>
    <xf numFmtId="3" fontId="158" fillId="0" borderId="6" xfId="0" applyNumberFormat="1" applyFont="1" applyBorder="1"/>
    <xf numFmtId="3" fontId="158" fillId="0" borderId="25" xfId="0" applyNumberFormat="1" applyFont="1" applyBorder="1"/>
    <xf numFmtId="3" fontId="158" fillId="30" borderId="5" xfId="0" applyNumberFormat="1" applyFont="1" applyFill="1" applyBorder="1"/>
    <xf numFmtId="3" fontId="158" fillId="30" borderId="6" xfId="0" applyNumberFormat="1" applyFont="1" applyFill="1" applyBorder="1"/>
    <xf numFmtId="3" fontId="158" fillId="30" borderId="25" xfId="0" applyNumberFormat="1" applyFont="1" applyFill="1" applyBorder="1"/>
    <xf numFmtId="3" fontId="155" fillId="20" borderId="5" xfId="0" applyNumberFormat="1" applyFont="1" applyFill="1" applyBorder="1"/>
    <xf numFmtId="3" fontId="155" fillId="20" borderId="6" xfId="0" applyNumberFormat="1" applyFont="1" applyFill="1" applyBorder="1"/>
    <xf numFmtId="3" fontId="155" fillId="20" borderId="25" xfId="0" applyNumberFormat="1" applyFont="1" applyFill="1" applyBorder="1"/>
    <xf numFmtId="0" fontId="157" fillId="20" borderId="0" xfId="0" applyFont="1" applyFill="1"/>
    <xf numFmtId="0" fontId="159" fillId="0" borderId="0" xfId="0" applyFont="1"/>
    <xf numFmtId="3" fontId="63" fillId="0" borderId="0" xfId="0" applyNumberFormat="1" applyFont="1"/>
    <xf numFmtId="3" fontId="63" fillId="31" borderId="0" xfId="0" applyNumberFormat="1" applyFont="1" applyFill="1"/>
    <xf numFmtId="0" fontId="7" fillId="29" borderId="2" xfId="0" applyFont="1" applyFill="1" applyBorder="1" applyAlignment="1">
      <alignment horizontal="center" vertical="center" wrapText="1"/>
    </xf>
    <xf numFmtId="0" fontId="160" fillId="19" borderId="0" xfId="0" applyFont="1" applyFill="1"/>
    <xf numFmtId="0" fontId="161" fillId="19" borderId="0" xfId="0" applyFont="1" applyFill="1"/>
    <xf numFmtId="0" fontId="70" fillId="19" borderId="0" xfId="2" applyFill="1"/>
    <xf numFmtId="0" fontId="70" fillId="29" borderId="0" xfId="2" applyFill="1"/>
    <xf numFmtId="0" fontId="60" fillId="29" borderId="0" xfId="0" applyFont="1" applyFill="1"/>
    <xf numFmtId="3" fontId="158" fillId="0" borderId="5" xfId="0" applyNumberFormat="1" applyFont="1" applyFill="1" applyBorder="1"/>
    <xf numFmtId="3" fontId="158" fillId="0" borderId="6" xfId="0" applyNumberFormat="1" applyFont="1" applyFill="1" applyBorder="1"/>
    <xf numFmtId="3" fontId="158" fillId="0" borderId="25" xfId="0" applyNumberFormat="1" applyFont="1" applyFill="1" applyBorder="1"/>
    <xf numFmtId="0" fontId="159" fillId="5" borderId="0" xfId="0" applyFont="1" applyFill="1"/>
    <xf numFmtId="3" fontId="0" fillId="30" borderId="3" xfId="0" applyNumberFormat="1" applyFill="1" applyBorder="1"/>
    <xf numFmtId="3" fontId="0" fillId="30" borderId="6" xfId="0" applyNumberFormat="1" applyFill="1" applyBorder="1"/>
    <xf numFmtId="3" fontId="0" fillId="30" borderId="4" xfId="0" applyNumberFormat="1" applyFill="1" applyBorder="1"/>
    <xf numFmtId="0" fontId="157" fillId="30" borderId="0" xfId="0" applyFont="1" applyFill="1"/>
    <xf numFmtId="0" fontId="8" fillId="30" borderId="2" xfId="0" applyFont="1" applyFill="1" applyBorder="1" applyAlignment="1">
      <alignment horizontal="center" vertical="center" wrapText="1"/>
    </xf>
    <xf numFmtId="3" fontId="162" fillId="30" borderId="5" xfId="0" applyNumberFormat="1" applyFont="1" applyFill="1" applyBorder="1"/>
    <xf numFmtId="3" fontId="162" fillId="30" borderId="6" xfId="0" applyNumberFormat="1" applyFont="1" applyFill="1" applyBorder="1"/>
    <xf numFmtId="3" fontId="162" fillId="30" borderId="25" xfId="0" applyNumberFormat="1" applyFont="1" applyFill="1" applyBorder="1"/>
    <xf numFmtId="0" fontId="21" fillId="0" borderId="0" xfId="0" applyFont="1" applyFill="1"/>
    <xf numFmtId="14" fontId="163" fillId="0" borderId="0" xfId="0" applyNumberFormat="1" applyFont="1" applyFill="1"/>
    <xf numFmtId="0" fontId="164" fillId="0" borderId="0" xfId="0" applyFont="1" applyFill="1"/>
    <xf numFmtId="0" fontId="165" fillId="0" borderId="0" xfId="0" applyFont="1" applyFill="1"/>
    <xf numFmtId="3" fontId="21" fillId="0" borderId="0" xfId="0" applyNumberFormat="1" applyFont="1" applyFill="1"/>
    <xf numFmtId="0" fontId="166" fillId="0" borderId="0" xfId="0" applyFont="1" applyFill="1"/>
    <xf numFmtId="0" fontId="164" fillId="5" borderId="0" xfId="2" applyFont="1" applyFill="1"/>
    <xf numFmtId="0" fontId="21" fillId="18" borderId="0" xfId="0" applyFont="1" applyFill="1"/>
    <xf numFmtId="14" fontId="153" fillId="18" borderId="0" xfId="0" applyNumberFormat="1" applyFont="1" applyFill="1" applyAlignment="1">
      <alignment horizontal="center"/>
    </xf>
    <xf numFmtId="0" fontId="60" fillId="18" borderId="0" xfId="0" applyFont="1" applyFill="1"/>
    <xf numFmtId="0" fontId="169" fillId="0" borderId="43" xfId="0" applyFont="1" applyBorder="1" applyAlignment="1">
      <alignment vertical="center" wrapText="1"/>
    </xf>
    <xf numFmtId="0" fontId="168" fillId="0" borderId="46" xfId="0" applyFont="1" applyBorder="1" applyAlignment="1">
      <alignment vertical="center" wrapText="1"/>
    </xf>
    <xf numFmtId="0" fontId="170" fillId="0" borderId="46" xfId="0" applyFont="1" applyBorder="1" applyAlignment="1">
      <alignment vertical="center" wrapText="1"/>
    </xf>
    <xf numFmtId="0" fontId="171" fillId="0" borderId="46" xfId="0" applyFont="1" applyBorder="1" applyAlignment="1">
      <alignment vertical="center" wrapText="1"/>
    </xf>
    <xf numFmtId="0" fontId="172" fillId="0" borderId="44" xfId="0" applyFont="1" applyBorder="1" applyAlignment="1">
      <alignment vertical="center" wrapText="1"/>
    </xf>
    <xf numFmtId="0" fontId="172" fillId="0" borderId="47" xfId="0" applyFont="1" applyBorder="1" applyAlignment="1">
      <alignment vertical="center" wrapText="1"/>
    </xf>
    <xf numFmtId="0" fontId="172" fillId="0" borderId="47" xfId="0" applyFont="1" applyBorder="1" applyAlignment="1">
      <alignment horizontal="center" vertical="center" wrapText="1"/>
    </xf>
    <xf numFmtId="49" fontId="172" fillId="0" borderId="44" xfId="0" applyNumberFormat="1" applyFont="1" applyBorder="1" applyAlignment="1">
      <alignment horizontal="center" vertical="center" wrapText="1"/>
    </xf>
    <xf numFmtId="0" fontId="172" fillId="0" borderId="47" xfId="0" applyFont="1" applyBorder="1" applyAlignment="1">
      <alignment horizontal="justify" vertical="center" wrapText="1"/>
    </xf>
    <xf numFmtId="49" fontId="173" fillId="0" borderId="45" xfId="0" applyNumberFormat="1" applyFont="1" applyBorder="1" applyAlignment="1">
      <alignment horizontal="center" vertical="center" wrapText="1"/>
    </xf>
    <xf numFmtId="0" fontId="172" fillId="0" borderId="48" xfId="0" applyFont="1" applyBorder="1" applyAlignment="1">
      <alignment horizontal="center" vertical="center" wrapText="1"/>
    </xf>
    <xf numFmtId="0" fontId="172" fillId="0" borderId="50" xfId="0" applyFont="1" applyBorder="1" applyAlignment="1">
      <alignment horizontal="justify" vertical="center" wrapText="1"/>
    </xf>
    <xf numFmtId="0" fontId="172" fillId="0" borderId="0" xfId="0" applyFont="1"/>
    <xf numFmtId="0" fontId="173" fillId="0" borderId="0" xfId="0" applyFont="1"/>
    <xf numFmtId="0" fontId="172" fillId="0" borderId="51" xfId="0" applyFont="1" applyBorder="1" applyAlignment="1">
      <alignment horizontal="center" vertical="center"/>
    </xf>
    <xf numFmtId="0" fontId="172" fillId="0" borderId="49" xfId="0" applyFont="1" applyBorder="1" applyAlignment="1">
      <alignment horizontal="left" vertical="center" wrapText="1"/>
    </xf>
    <xf numFmtId="0" fontId="172" fillId="0" borderId="51" xfId="0" applyFont="1" applyBorder="1" applyAlignment="1">
      <alignment horizontal="left" vertical="center" wrapText="1"/>
    </xf>
    <xf numFmtId="0" fontId="173" fillId="32" borderId="51" xfId="0" applyFont="1" applyFill="1" applyBorder="1" applyAlignment="1">
      <alignment horizontal="center" vertical="center" wrapText="1"/>
    </xf>
    <xf numFmtId="49" fontId="173" fillId="0" borderId="44" xfId="0" applyNumberFormat="1" applyFont="1" applyBorder="1" applyAlignment="1">
      <alignment horizontal="center" vertical="center" wrapText="1"/>
    </xf>
    <xf numFmtId="0" fontId="172" fillId="0" borderId="44" xfId="0" applyFont="1" applyBorder="1" applyAlignment="1">
      <alignment horizontal="left" vertical="center" wrapText="1"/>
    </xf>
    <xf numFmtId="0" fontId="0" fillId="0" borderId="52" xfId="0" applyBorder="1"/>
    <xf numFmtId="0" fontId="172" fillId="0" borderId="53" xfId="0" applyFont="1" applyBorder="1" applyAlignment="1">
      <alignment horizontal="center" vertical="center"/>
    </xf>
    <xf numFmtId="0" fontId="172" fillId="0" borderId="53" xfId="0" applyFont="1" applyBorder="1" applyAlignment="1">
      <alignment wrapText="1"/>
    </xf>
    <xf numFmtId="0" fontId="172" fillId="0" borderId="53" xfId="0" applyFont="1" applyBorder="1"/>
    <xf numFmtId="0" fontId="172" fillId="0" borderId="52" xfId="0" applyFont="1" applyBorder="1" applyAlignment="1">
      <alignment horizontal="center" vertical="center"/>
    </xf>
    <xf numFmtId="0" fontId="172" fillId="0" borderId="52" xfId="0" applyFont="1" applyBorder="1"/>
    <xf numFmtId="0" fontId="173" fillId="0" borderId="53" xfId="0" applyFont="1" applyBorder="1" applyAlignment="1">
      <alignment horizontal="center" vertical="center"/>
    </xf>
    <xf numFmtId="0" fontId="173" fillId="0" borderId="52" xfId="0" applyFont="1" applyBorder="1" applyAlignment="1">
      <alignment horizontal="center" vertical="center"/>
    </xf>
    <xf numFmtId="4" fontId="0" fillId="0" borderId="0" xfId="0" applyNumberFormat="1"/>
    <xf numFmtId="0" fontId="177" fillId="11" borderId="19" xfId="0" applyFont="1" applyFill="1" applyBorder="1" applyAlignment="1">
      <alignment horizontal="right" vertical="top" wrapText="1"/>
    </xf>
    <xf numFmtId="0" fontId="178" fillId="0" borderId="0" xfId="0" applyFont="1" applyAlignment="1">
      <alignment vertical="center"/>
    </xf>
    <xf numFmtId="0" fontId="84" fillId="0" borderId="0" xfId="0" applyFont="1" applyAlignment="1">
      <alignment horizontal="right"/>
    </xf>
    <xf numFmtId="0" fontId="84" fillId="0" borderId="0" xfId="0" applyFont="1" applyAlignment="1">
      <alignment horizontal="left" vertical="center"/>
    </xf>
    <xf numFmtId="0" fontId="84" fillId="0" borderId="0" xfId="0" applyFont="1" applyAlignment="1">
      <alignment vertical="center"/>
    </xf>
    <xf numFmtId="0" fontId="129" fillId="5" borderId="0" xfId="0" applyFont="1" applyFill="1"/>
    <xf numFmtId="17" fontId="72" fillId="0" borderId="0" xfId="0" applyNumberFormat="1" applyFont="1"/>
    <xf numFmtId="14" fontId="86" fillId="0" borderId="0" xfId="0" applyNumberFormat="1" applyFont="1"/>
    <xf numFmtId="0" fontId="74" fillId="0" borderId="0" xfId="0" applyFont="1"/>
    <xf numFmtId="17" fontId="74" fillId="0" borderId="0" xfId="0" applyNumberFormat="1" applyFont="1"/>
    <xf numFmtId="0" fontId="179" fillId="10" borderId="0" xfId="0" applyFont="1" applyFill="1"/>
    <xf numFmtId="0" fontId="180" fillId="10" borderId="0" xfId="0" applyFont="1" applyFill="1"/>
    <xf numFmtId="0" fontId="182" fillId="10" borderId="0" xfId="0" applyFont="1" applyFill="1"/>
    <xf numFmtId="0" fontId="183" fillId="11" borderId="19" xfId="0" applyFont="1" applyFill="1" applyBorder="1" applyAlignment="1">
      <alignment horizontal="right" vertical="top" wrapText="1"/>
    </xf>
    <xf numFmtId="0" fontId="183" fillId="11" borderId="20" xfId="0" applyFont="1" applyFill="1" applyBorder="1" applyAlignment="1">
      <alignment horizontal="right" vertical="top" wrapText="1"/>
    </xf>
    <xf numFmtId="0" fontId="72" fillId="0" borderId="0" xfId="0" applyFont="1" applyAlignment="1">
      <alignment horizontal="left" wrapText="1"/>
    </xf>
    <xf numFmtId="0" fontId="79" fillId="0" borderId="0" xfId="0" applyFont="1" applyAlignment="1">
      <alignment horizontal="left" wrapText="1"/>
    </xf>
    <xf numFmtId="0" fontId="126" fillId="0" borderId="0" xfId="0" applyFont="1" applyAlignment="1">
      <alignment horizontal="left" vertical="center"/>
    </xf>
    <xf numFmtId="0" fontId="127" fillId="0" borderId="0" xfId="0" applyFont="1" applyAlignment="1">
      <alignment horizontal="left" vertical="center" wrapText="1"/>
    </xf>
    <xf numFmtId="0" fontId="127" fillId="5" borderId="0" xfId="0" applyFont="1" applyFill="1" applyAlignment="1">
      <alignment horizontal="left" vertical="center" wrapText="1"/>
    </xf>
    <xf numFmtId="0" fontId="72" fillId="5" borderId="0" xfId="0" applyFont="1" applyFill="1" applyAlignment="1">
      <alignment horizontal="left" wrapText="1"/>
    </xf>
    <xf numFmtId="0" fontId="125" fillId="0" borderId="0" xfId="0" applyFont="1" applyAlignment="1">
      <alignment horizontal="left" vertical="center" wrapText="1"/>
    </xf>
    <xf numFmtId="0" fontId="128" fillId="0" borderId="0" xfId="0" applyFont="1" applyAlignment="1">
      <alignment horizontal="left" wrapText="1"/>
    </xf>
    <xf numFmtId="0" fontId="122" fillId="0" borderId="0" xfId="0" applyFont="1" applyAlignment="1">
      <alignment horizontal="left" wrapText="1"/>
    </xf>
    <xf numFmtId="0" fontId="36" fillId="0" borderId="0" xfId="0" applyFont="1" applyFill="1" applyBorder="1" applyAlignment="1">
      <alignment horizontal="center" vertical="top"/>
    </xf>
    <xf numFmtId="0" fontId="172" fillId="0" borderId="44" xfId="0" applyFont="1" applyBorder="1" applyAlignment="1">
      <alignment horizontal="left" vertical="center" wrapText="1"/>
    </xf>
    <xf numFmtId="0" fontId="172" fillId="0" borderId="49" xfId="0" applyFont="1" applyBorder="1" applyAlignment="1">
      <alignment horizontal="left" vertical="center" wrapText="1"/>
    </xf>
    <xf numFmtId="0" fontId="173" fillId="32" borderId="51" xfId="0" applyFont="1" applyFill="1" applyBorder="1" applyAlignment="1">
      <alignment horizontal="center" vertical="center"/>
    </xf>
    <xf numFmtId="3" fontId="2" fillId="5" borderId="5" xfId="0" applyNumberFormat="1" applyFont="1" applyFill="1" applyBorder="1" applyProtection="1">
      <protection locked="0"/>
    </xf>
    <xf numFmtId="3" fontId="2" fillId="5" borderId="6" xfId="0" applyNumberFormat="1" applyFont="1" applyFill="1" applyBorder="1" applyProtection="1">
      <protection locked="0"/>
    </xf>
    <xf numFmtId="3" fontId="2" fillId="5" borderId="25" xfId="0" applyNumberFormat="1" applyFont="1" applyFill="1" applyBorder="1" applyProtection="1">
      <protection locked="0"/>
    </xf>
    <xf numFmtId="3" fontId="4" fillId="0" borderId="8" xfId="0" applyNumberFormat="1" applyFont="1" applyBorder="1" applyProtection="1">
      <protection locked="0"/>
    </xf>
    <xf numFmtId="3" fontId="63" fillId="31" borderId="0" xfId="0" applyNumberFormat="1" applyFont="1" applyFill="1" applyProtection="1">
      <protection locked="0"/>
    </xf>
    <xf numFmtId="3" fontId="0" fillId="5" borderId="3" xfId="0" applyNumberFormat="1" applyFill="1" applyBorder="1" applyProtection="1">
      <protection locked="0"/>
    </xf>
    <xf numFmtId="3" fontId="0" fillId="5" borderId="6" xfId="0" applyNumberFormat="1" applyFill="1" applyBorder="1" applyProtection="1">
      <protection locked="0"/>
    </xf>
    <xf numFmtId="3" fontId="4" fillId="5" borderId="8" xfId="0" applyNumberFormat="1" applyFont="1" applyFill="1" applyBorder="1" applyProtection="1">
      <protection locked="0"/>
    </xf>
    <xf numFmtId="3" fontId="0" fillId="5" borderId="7" xfId="0" applyNumberFormat="1" applyFill="1" applyBorder="1" applyProtection="1">
      <protection locked="0"/>
    </xf>
    <xf numFmtId="3" fontId="0" fillId="4" borderId="5" xfId="0" applyNumberFormat="1" applyFill="1" applyBorder="1" applyProtection="1">
      <protection locked="0"/>
    </xf>
    <xf numFmtId="3" fontId="0" fillId="4" borderId="6" xfId="0" applyNumberFormat="1" applyFill="1" applyBorder="1" applyProtection="1">
      <protection locked="0"/>
    </xf>
    <xf numFmtId="0" fontId="9" fillId="13" borderId="1" xfId="0" applyFont="1" applyFill="1" applyBorder="1" applyProtection="1"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00"/>
      <color rgb="FFFFFF66"/>
      <color rgb="FFFFFF99"/>
      <color rgb="FF66FF66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9F4972F-60A5-4541-9D30-0FFEA55A32C0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915013A0-9EA8-485A-9815-A81D7F60B93E}">
      <dgm:prSet phldrT="[Texto]" custT="1"/>
      <dgm:spPr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dgm:spPr>
      <dgm:t>
        <a:bodyPr/>
        <a:lstStyle/>
        <a:p>
          <a:r>
            <a:rPr lang="es-BO" sz="1200" i="1"/>
            <a:t>Prorroga DDJJ y  pago, DF,  oblig. Mensuales Feb/Mar</a:t>
          </a:r>
        </a:p>
      </dgm:t>
    </dgm:pt>
    <dgm:pt modelId="{45A03C62-C1E0-4023-BC77-EE3A00D46FCB}" type="parTrans" cxnId="{F592E83D-131C-488A-88CA-A2229802667B}">
      <dgm:prSet/>
      <dgm:spPr/>
      <dgm:t>
        <a:bodyPr/>
        <a:lstStyle/>
        <a:p>
          <a:endParaRPr lang="es-BO"/>
        </a:p>
      </dgm:t>
    </dgm:pt>
    <dgm:pt modelId="{E3686468-FACC-458A-B1CF-AFC2769FB9DE}" type="sibTrans" cxnId="{F592E83D-131C-488A-88CA-A2229802667B}">
      <dgm:prSet/>
      <dgm:spPr/>
      <dgm:t>
        <a:bodyPr/>
        <a:lstStyle/>
        <a:p>
          <a:endParaRPr lang="es-BO"/>
        </a:p>
      </dgm:t>
    </dgm:pt>
    <dgm:pt modelId="{A49D559A-42A8-4437-88DB-D87782AB3359}">
      <dgm:prSet phldrT="[Texto]" custT="1"/>
      <dgm:spPr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dgm:spPr>
      <dgm:t>
        <a:bodyPr/>
        <a:lstStyle/>
        <a:p>
          <a:r>
            <a:rPr lang="es-BO" sz="1100" i="1"/>
            <a:t>RET. RC IVA de Abr y May en JUNIO </a:t>
          </a:r>
        </a:p>
      </dgm:t>
    </dgm:pt>
    <dgm:pt modelId="{EC4F75B1-F65D-46CC-A002-8C57418024AA}" type="parTrans" cxnId="{5271A098-2B5E-49D0-8CF6-FB9D57A064F4}">
      <dgm:prSet/>
      <dgm:spPr/>
      <dgm:t>
        <a:bodyPr/>
        <a:lstStyle/>
        <a:p>
          <a:endParaRPr lang="es-BO"/>
        </a:p>
      </dgm:t>
    </dgm:pt>
    <dgm:pt modelId="{2CC86C67-1B58-473E-9028-2CD59715B669}" type="sibTrans" cxnId="{5271A098-2B5E-49D0-8CF6-FB9D57A064F4}">
      <dgm:prSet/>
      <dgm:spPr/>
      <dgm:t>
        <a:bodyPr/>
        <a:lstStyle/>
        <a:p>
          <a:endParaRPr lang="es-BO"/>
        </a:p>
      </dgm:t>
    </dgm:pt>
    <dgm:pt modelId="{3BE8CAEA-1B4D-4511-9863-DABAE3E59349}">
      <dgm:prSet phldrT="[Texto]"/>
      <dgm:spPr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dgm:spPr>
      <dgm:t>
        <a:bodyPr/>
        <a:lstStyle/>
        <a:p>
          <a:r>
            <a:rPr lang="es-BO" i="1"/>
            <a:t>Prorroga Plla. TRIB V2 Abr/May </a:t>
          </a:r>
        </a:p>
      </dgm:t>
    </dgm:pt>
    <dgm:pt modelId="{94EA89C2-F871-4E55-824E-84498CD5A229}" type="parTrans" cxnId="{57F9AF34-8D54-4554-B96C-A87585A75901}">
      <dgm:prSet/>
      <dgm:spPr/>
      <dgm:t>
        <a:bodyPr/>
        <a:lstStyle/>
        <a:p>
          <a:endParaRPr lang="es-BO"/>
        </a:p>
      </dgm:t>
    </dgm:pt>
    <dgm:pt modelId="{63F385E4-3297-4D13-8A2A-4972B13ACEA4}" type="sibTrans" cxnId="{57F9AF34-8D54-4554-B96C-A87585A75901}">
      <dgm:prSet/>
      <dgm:spPr/>
      <dgm:t>
        <a:bodyPr/>
        <a:lstStyle/>
        <a:p>
          <a:endParaRPr lang="es-BO"/>
        </a:p>
      </dgm:t>
    </dgm:pt>
    <dgm:pt modelId="{B2ECE4AA-787C-48C6-B72B-4907578941E3}">
      <dgm:prSet phldrT="[Texto]" custT="1"/>
      <dgm:spPr>
        <a:solidFill>
          <a:schemeClr val="tx1">
            <a:lumMod val="75000"/>
            <a:lumOff val="2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dgm:spPr>
      <dgm:t>
        <a:bodyPr/>
        <a:lstStyle/>
        <a:p>
          <a:r>
            <a:rPr lang="es-BO" sz="1400" i="1"/>
            <a:t>Prorroga </a:t>
          </a:r>
        </a:p>
        <a:p>
          <a:r>
            <a:rPr lang="es-BO" sz="1400" i="1"/>
            <a:t>F-110</a:t>
          </a:r>
        </a:p>
        <a:p>
          <a:r>
            <a:rPr lang="es-BO" sz="1400" i="1"/>
            <a:t>Abr-May</a:t>
          </a:r>
        </a:p>
      </dgm:t>
    </dgm:pt>
    <dgm:pt modelId="{BAA40FC7-77BF-40B9-82A6-024A396AC2A1}" type="parTrans" cxnId="{B41036AA-95ED-4622-A2B6-D5E94A3852A7}">
      <dgm:prSet/>
      <dgm:spPr/>
      <dgm:t>
        <a:bodyPr/>
        <a:lstStyle/>
        <a:p>
          <a:endParaRPr lang="es-BO"/>
        </a:p>
      </dgm:t>
    </dgm:pt>
    <dgm:pt modelId="{0F59CEFA-E734-47F0-B20B-0B7F8854B7F4}" type="sibTrans" cxnId="{B41036AA-95ED-4622-A2B6-D5E94A3852A7}">
      <dgm:prSet/>
      <dgm:spPr/>
      <dgm:t>
        <a:bodyPr/>
        <a:lstStyle/>
        <a:p>
          <a:endParaRPr lang="es-BO"/>
        </a:p>
      </dgm:t>
    </dgm:pt>
    <dgm:pt modelId="{05A4B0CF-E9E6-4C06-BF61-4D5F57534D60}" type="pres">
      <dgm:prSet presAssocID="{D9F4972F-60A5-4541-9D30-0FFEA55A32C0}" presName="Name0" presStyleCnt="0">
        <dgm:presLayoutVars>
          <dgm:dir/>
          <dgm:animLvl val="lvl"/>
          <dgm:resizeHandles val="exact"/>
        </dgm:presLayoutVars>
      </dgm:prSet>
      <dgm:spPr/>
    </dgm:pt>
    <dgm:pt modelId="{9D56E6F5-89A4-45EA-9128-1FC98B18007C}" type="pres">
      <dgm:prSet presAssocID="{915013A0-9EA8-485A-9815-A81D7F60B93E}" presName="parTxOnly" presStyleLbl="node1" presStyleIdx="0" presStyleCnt="4">
        <dgm:presLayoutVars>
          <dgm:chMax val="0"/>
          <dgm:chPref val="0"/>
          <dgm:bulletEnabled val="1"/>
        </dgm:presLayoutVars>
      </dgm:prSet>
      <dgm:spPr/>
    </dgm:pt>
    <dgm:pt modelId="{787959B7-3CD0-4760-BC42-3A97B7BAB972}" type="pres">
      <dgm:prSet presAssocID="{E3686468-FACC-458A-B1CF-AFC2769FB9DE}" presName="parTxOnlySpace" presStyleCnt="0"/>
      <dgm:spPr/>
    </dgm:pt>
    <dgm:pt modelId="{39943978-64D9-462B-AA7E-D2B35DF2CFAE}" type="pres">
      <dgm:prSet presAssocID="{B2ECE4AA-787C-48C6-B72B-4907578941E3}" presName="parTxOnly" presStyleLbl="node1" presStyleIdx="1" presStyleCnt="4" custScaleY="103163">
        <dgm:presLayoutVars>
          <dgm:chMax val="0"/>
          <dgm:chPref val="0"/>
          <dgm:bulletEnabled val="1"/>
        </dgm:presLayoutVars>
      </dgm:prSet>
      <dgm:spPr/>
    </dgm:pt>
    <dgm:pt modelId="{0A242690-4B2D-4F2E-818B-795E45A3A7D5}" type="pres">
      <dgm:prSet presAssocID="{0F59CEFA-E734-47F0-B20B-0B7F8854B7F4}" presName="parTxOnlySpace" presStyleCnt="0"/>
      <dgm:spPr/>
    </dgm:pt>
    <dgm:pt modelId="{557EA7AF-673A-4A3E-AF3D-561A432037A4}" type="pres">
      <dgm:prSet presAssocID="{A49D559A-42A8-4437-88DB-D87782AB3359}" presName="parTxOnly" presStyleLbl="node1" presStyleIdx="2" presStyleCnt="4" custLinFactNeighborX="15670">
        <dgm:presLayoutVars>
          <dgm:chMax val="0"/>
          <dgm:chPref val="0"/>
          <dgm:bulletEnabled val="1"/>
        </dgm:presLayoutVars>
      </dgm:prSet>
      <dgm:spPr/>
    </dgm:pt>
    <dgm:pt modelId="{B7365661-43A6-471A-AB75-E60022300E8C}" type="pres">
      <dgm:prSet presAssocID="{2CC86C67-1B58-473E-9028-2CD59715B669}" presName="parTxOnlySpace" presStyleCnt="0"/>
      <dgm:spPr/>
    </dgm:pt>
    <dgm:pt modelId="{8EB23ED0-727E-4031-A702-60971BD5EF4D}" type="pres">
      <dgm:prSet presAssocID="{3BE8CAEA-1B4D-4511-9863-DABAE3E59349}" presName="parTxOnly" presStyleLbl="node1" presStyleIdx="3" presStyleCnt="4">
        <dgm:presLayoutVars>
          <dgm:chMax val="0"/>
          <dgm:chPref val="0"/>
          <dgm:bulletEnabled val="1"/>
        </dgm:presLayoutVars>
      </dgm:prSet>
      <dgm:spPr/>
    </dgm:pt>
  </dgm:ptLst>
  <dgm:cxnLst>
    <dgm:cxn modelId="{78432D02-686C-4F7A-9798-59057C9FAC0E}" type="presOf" srcId="{3BE8CAEA-1B4D-4511-9863-DABAE3E59349}" destId="{8EB23ED0-727E-4031-A702-60971BD5EF4D}" srcOrd="0" destOrd="0" presId="urn:microsoft.com/office/officeart/2005/8/layout/chevron1"/>
    <dgm:cxn modelId="{6CAB422C-D3C1-4AC3-8E0E-CB59DCBE3B3D}" type="presOf" srcId="{915013A0-9EA8-485A-9815-A81D7F60B93E}" destId="{9D56E6F5-89A4-45EA-9128-1FC98B18007C}" srcOrd="0" destOrd="0" presId="urn:microsoft.com/office/officeart/2005/8/layout/chevron1"/>
    <dgm:cxn modelId="{57F9AF34-8D54-4554-B96C-A87585A75901}" srcId="{D9F4972F-60A5-4541-9D30-0FFEA55A32C0}" destId="{3BE8CAEA-1B4D-4511-9863-DABAE3E59349}" srcOrd="3" destOrd="0" parTransId="{94EA89C2-F871-4E55-824E-84498CD5A229}" sibTransId="{63F385E4-3297-4D13-8A2A-4972B13ACEA4}"/>
    <dgm:cxn modelId="{F506FB35-3776-46F3-9448-5A129E5FF559}" type="presOf" srcId="{A49D559A-42A8-4437-88DB-D87782AB3359}" destId="{557EA7AF-673A-4A3E-AF3D-561A432037A4}" srcOrd="0" destOrd="0" presId="urn:microsoft.com/office/officeart/2005/8/layout/chevron1"/>
    <dgm:cxn modelId="{F592E83D-131C-488A-88CA-A2229802667B}" srcId="{D9F4972F-60A5-4541-9D30-0FFEA55A32C0}" destId="{915013A0-9EA8-485A-9815-A81D7F60B93E}" srcOrd="0" destOrd="0" parTransId="{45A03C62-C1E0-4023-BC77-EE3A00D46FCB}" sibTransId="{E3686468-FACC-458A-B1CF-AFC2769FB9DE}"/>
    <dgm:cxn modelId="{5271A098-2B5E-49D0-8CF6-FB9D57A064F4}" srcId="{D9F4972F-60A5-4541-9D30-0FFEA55A32C0}" destId="{A49D559A-42A8-4437-88DB-D87782AB3359}" srcOrd="2" destOrd="0" parTransId="{EC4F75B1-F65D-46CC-A002-8C57418024AA}" sibTransId="{2CC86C67-1B58-473E-9028-2CD59715B669}"/>
    <dgm:cxn modelId="{B41036AA-95ED-4622-A2B6-D5E94A3852A7}" srcId="{D9F4972F-60A5-4541-9D30-0FFEA55A32C0}" destId="{B2ECE4AA-787C-48C6-B72B-4907578941E3}" srcOrd="1" destOrd="0" parTransId="{BAA40FC7-77BF-40B9-82A6-024A396AC2A1}" sibTransId="{0F59CEFA-E734-47F0-B20B-0B7F8854B7F4}"/>
    <dgm:cxn modelId="{A69DF1D2-0408-4649-8181-747A6ED247FA}" type="presOf" srcId="{D9F4972F-60A5-4541-9D30-0FFEA55A32C0}" destId="{05A4B0CF-E9E6-4C06-BF61-4D5F57534D60}" srcOrd="0" destOrd="0" presId="urn:microsoft.com/office/officeart/2005/8/layout/chevron1"/>
    <dgm:cxn modelId="{B85B83FA-3EC0-48E1-A30B-D6246BB34285}" type="presOf" srcId="{B2ECE4AA-787C-48C6-B72B-4907578941E3}" destId="{39943978-64D9-462B-AA7E-D2B35DF2CFAE}" srcOrd="0" destOrd="0" presId="urn:microsoft.com/office/officeart/2005/8/layout/chevron1"/>
    <dgm:cxn modelId="{838E7462-8189-4F88-BF79-CA108C66CE31}" type="presParOf" srcId="{05A4B0CF-E9E6-4C06-BF61-4D5F57534D60}" destId="{9D56E6F5-89A4-45EA-9128-1FC98B18007C}" srcOrd="0" destOrd="0" presId="urn:microsoft.com/office/officeart/2005/8/layout/chevron1"/>
    <dgm:cxn modelId="{C1BD6812-33F5-4E73-855E-7BEE10324D56}" type="presParOf" srcId="{05A4B0CF-E9E6-4C06-BF61-4D5F57534D60}" destId="{787959B7-3CD0-4760-BC42-3A97B7BAB972}" srcOrd="1" destOrd="0" presId="urn:microsoft.com/office/officeart/2005/8/layout/chevron1"/>
    <dgm:cxn modelId="{7AFDB707-695A-486C-9734-E4E21D43B01F}" type="presParOf" srcId="{05A4B0CF-E9E6-4C06-BF61-4D5F57534D60}" destId="{39943978-64D9-462B-AA7E-D2B35DF2CFAE}" srcOrd="2" destOrd="0" presId="urn:microsoft.com/office/officeart/2005/8/layout/chevron1"/>
    <dgm:cxn modelId="{81B0A646-E9DD-4A35-830B-78D3D16C4357}" type="presParOf" srcId="{05A4B0CF-E9E6-4C06-BF61-4D5F57534D60}" destId="{0A242690-4B2D-4F2E-818B-795E45A3A7D5}" srcOrd="3" destOrd="0" presId="urn:microsoft.com/office/officeart/2005/8/layout/chevron1"/>
    <dgm:cxn modelId="{AF3E9498-8949-4DF7-83D9-A8332D166970}" type="presParOf" srcId="{05A4B0CF-E9E6-4C06-BF61-4D5F57534D60}" destId="{557EA7AF-673A-4A3E-AF3D-561A432037A4}" srcOrd="4" destOrd="0" presId="urn:microsoft.com/office/officeart/2005/8/layout/chevron1"/>
    <dgm:cxn modelId="{992FA378-3C1D-4876-B335-210EE958D814}" type="presParOf" srcId="{05A4B0CF-E9E6-4C06-BF61-4D5F57534D60}" destId="{B7365661-43A6-471A-AB75-E60022300E8C}" srcOrd="5" destOrd="0" presId="urn:microsoft.com/office/officeart/2005/8/layout/chevron1"/>
    <dgm:cxn modelId="{461DA9B8-E65E-4108-81B1-101E6759AF76}" type="presParOf" srcId="{05A4B0CF-E9E6-4C06-BF61-4D5F57534D60}" destId="{8EB23ED0-727E-4031-A702-60971BD5EF4D}" srcOrd="6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D56E6F5-89A4-45EA-9128-1FC98B18007C}">
      <dsp:nvSpPr>
        <dsp:cNvPr id="0" name=""/>
        <dsp:cNvSpPr/>
      </dsp:nvSpPr>
      <dsp:spPr>
        <a:xfrm>
          <a:off x="3438" y="111067"/>
          <a:ext cx="2001757" cy="800703"/>
        </a:xfrm>
        <a:prstGeom prst="chevr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noFill/>
          <a:prstDash val="solid"/>
          <a:miter lim="800000"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BO" sz="1200" i="1" kern="1200"/>
            <a:t>Prorroga DDJJ y  pago, DF,  oblig. Mensuales Feb/Mar</a:t>
          </a:r>
        </a:p>
      </dsp:txBody>
      <dsp:txXfrm>
        <a:off x="403790" y="111067"/>
        <a:ext cx="1201054" cy="800703"/>
      </dsp:txXfrm>
    </dsp:sp>
    <dsp:sp modelId="{39943978-64D9-462B-AA7E-D2B35DF2CFAE}">
      <dsp:nvSpPr>
        <dsp:cNvPr id="0" name=""/>
        <dsp:cNvSpPr/>
      </dsp:nvSpPr>
      <dsp:spPr>
        <a:xfrm>
          <a:off x="1805020" y="98404"/>
          <a:ext cx="2001757" cy="826029"/>
        </a:xfrm>
        <a:prstGeom prst="chevron">
          <a:avLst/>
        </a:prstGeom>
        <a:solidFill>
          <a:schemeClr val="tx1">
            <a:lumMod val="75000"/>
            <a:lumOff val="25000"/>
          </a:schemeClr>
        </a:solidFill>
        <a:ln w="12700" cap="flat" cmpd="sng" algn="ctr">
          <a:noFill/>
          <a:prstDash val="solid"/>
          <a:miter lim="800000"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007" tIns="18669" rIns="18669" bIns="18669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BO" sz="1400" i="1" kern="1200"/>
            <a:t>Prorroga </a:t>
          </a:r>
        </a:p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BO" sz="1400" i="1" kern="1200"/>
            <a:t>F-110</a:t>
          </a:r>
        </a:p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BO" sz="1400" i="1" kern="1200"/>
            <a:t>Abr-May</a:t>
          </a:r>
        </a:p>
      </dsp:txBody>
      <dsp:txXfrm>
        <a:off x="2218035" y="98404"/>
        <a:ext cx="1175728" cy="826029"/>
      </dsp:txXfrm>
    </dsp:sp>
    <dsp:sp modelId="{557EA7AF-673A-4A3E-AF3D-561A432037A4}">
      <dsp:nvSpPr>
        <dsp:cNvPr id="0" name=""/>
        <dsp:cNvSpPr/>
      </dsp:nvSpPr>
      <dsp:spPr>
        <a:xfrm>
          <a:off x="3637970" y="111067"/>
          <a:ext cx="2001757" cy="800703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noFill/>
          <a:prstDash val="solid"/>
          <a:miter lim="800000"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BO" sz="1100" i="1" kern="1200"/>
            <a:t>RET. RC IVA de Abr y May en JUNIO </a:t>
          </a:r>
        </a:p>
      </dsp:txBody>
      <dsp:txXfrm>
        <a:off x="4038322" y="111067"/>
        <a:ext cx="1201054" cy="800703"/>
      </dsp:txXfrm>
    </dsp:sp>
    <dsp:sp modelId="{8EB23ED0-727E-4031-A702-60971BD5EF4D}">
      <dsp:nvSpPr>
        <dsp:cNvPr id="0" name=""/>
        <dsp:cNvSpPr/>
      </dsp:nvSpPr>
      <dsp:spPr>
        <a:xfrm>
          <a:off x="5408184" y="111067"/>
          <a:ext cx="2001757" cy="800703"/>
        </a:xfrm>
        <a:prstGeom prst="chevron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noFill/>
          <a:prstDash val="solid"/>
          <a:miter lim="800000"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8009" tIns="22670" rIns="22670" bIns="22670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BO" sz="1700" i="1" kern="1200"/>
            <a:t>Prorroga Plla. TRIB V2 Abr/May </a:t>
          </a:r>
        </a:p>
      </dsp:txBody>
      <dsp:txXfrm>
        <a:off x="5808536" y="111067"/>
        <a:ext cx="1201054" cy="80070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7" Type="http://schemas.openxmlformats.org/officeDocument/2006/relationships/image" Target="../media/image12.png"/><Relationship Id="rId2" Type="http://schemas.microsoft.com/office/2007/relationships/hdphoto" Target="../media/hdphoto2.wdp"/><Relationship Id="rId1" Type="http://schemas.openxmlformats.org/officeDocument/2006/relationships/image" Target="../media/image15.png"/><Relationship Id="rId6" Type="http://schemas.microsoft.com/office/2007/relationships/hdphoto" Target="../media/hdphoto4.wdp"/><Relationship Id="rId5" Type="http://schemas.openxmlformats.org/officeDocument/2006/relationships/image" Target="../media/image17.png"/><Relationship Id="rId4" Type="http://schemas.microsoft.com/office/2007/relationships/hdphoto" Target="../media/hdphoto3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Facilito-OV'!A1"/><Relationship Id="rId7" Type="http://schemas.openxmlformats.org/officeDocument/2006/relationships/hyperlink" Target="#Multas!A1"/><Relationship Id="rId2" Type="http://schemas.openxmlformats.org/officeDocument/2006/relationships/hyperlink" Target="#Normativa!A33"/><Relationship Id="rId1" Type="http://schemas.openxmlformats.org/officeDocument/2006/relationships/hyperlink" Target="#Normativa!AB4"/><Relationship Id="rId6" Type="http://schemas.openxmlformats.org/officeDocument/2006/relationships/image" Target="../media/image1.png"/><Relationship Id="rId5" Type="http://schemas.openxmlformats.org/officeDocument/2006/relationships/hyperlink" Target="#'Facilito-OV'!C74"/><Relationship Id="rId4" Type="http://schemas.openxmlformats.org/officeDocument/2006/relationships/hyperlink" Target="#Normativa!A11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4.pn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3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microsoft.com/office/2007/relationships/hdphoto" Target="../media/hdphoto1.wdp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263846</xdr:colOff>
      <xdr:row>1</xdr:row>
      <xdr:rowOff>169832</xdr:rowOff>
    </xdr:from>
    <xdr:to>
      <xdr:col>10</xdr:col>
      <xdr:colOff>209550</xdr:colOff>
      <xdr:row>3</xdr:row>
      <xdr:rowOff>161925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13FC6246-CF3C-40AE-9649-0968DE16DC59}"/>
            </a:ext>
          </a:extLst>
        </xdr:cNvPr>
        <xdr:cNvGrpSpPr/>
      </xdr:nvGrpSpPr>
      <xdr:grpSpPr>
        <a:xfrm>
          <a:off x="4835846" y="360332"/>
          <a:ext cx="2993704" cy="768747"/>
          <a:chOff x="4835846" y="690752"/>
          <a:chExt cx="2140395" cy="504800"/>
        </a:xfrm>
      </xdr:grpSpPr>
      <xdr:sp macro="" textlink="" fLocksText="0">
        <xdr:nvSpPr>
          <xdr:cNvPr id="17" name="Boton_arriba">
            <a:extLst>
              <a:ext uri="{FF2B5EF4-FFF2-40B4-BE49-F238E27FC236}">
                <a16:creationId xmlns:a16="http://schemas.microsoft.com/office/drawing/2014/main" id="{7A9C1455-BD66-411F-A79A-27DA86EC39B8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4835846" y="690752"/>
            <a:ext cx="2140395" cy="504800"/>
          </a:xfrm>
          <a:prstGeom prst="roundRect">
            <a:avLst/>
          </a:prstGeom>
          <a:solidFill>
            <a:schemeClr val="bg1">
              <a:lumMod val="50000"/>
              <a:alpha val="22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10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10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1000" i="1"/>
          </a:p>
          <a:p>
            <a:pPr algn="l"/>
            <a:r>
              <a:rPr lang="es-BO" sz="1000" i="1"/>
              <a:t>CEL. 72109169</a:t>
            </a:r>
          </a:p>
        </xdr:txBody>
      </xdr:sp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AD059AFB-C0A1-467A-A854-827CA3D42E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51553" y="804646"/>
            <a:ext cx="407914" cy="31898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669634</xdr:colOff>
      <xdr:row>12</xdr:row>
      <xdr:rowOff>112629</xdr:rowOff>
    </xdr:from>
    <xdr:to>
      <xdr:col>5</xdr:col>
      <xdr:colOff>741893</xdr:colOff>
      <xdr:row>20</xdr:row>
      <xdr:rowOff>81784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75F46B42-FD80-42FB-89A2-0091977106A8}"/>
            </a:ext>
          </a:extLst>
        </xdr:cNvPr>
        <xdr:cNvSpPr/>
      </xdr:nvSpPr>
      <xdr:spPr>
        <a:xfrm>
          <a:off x="669634" y="2798679"/>
          <a:ext cx="3882259" cy="1493155"/>
        </a:xfrm>
        <a:prstGeom prst="roundRect">
          <a:avLst/>
        </a:prstGeom>
        <a:solidFill>
          <a:schemeClr val="bg1">
            <a:lumMod val="50000"/>
            <a:alpha val="38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BO" sz="1400">
              <a:solidFill>
                <a:schemeClr val="lt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Msc. Freddy ledezma Zeballos Auditor - Especialista tributario (coaching), 15 años experiencia profesional profesor de Pre y Postgrado en varias universidades</a:t>
          </a:r>
          <a:r>
            <a:rPr lang="es-BO" sz="1400" baseline="0">
              <a:solidFill>
                <a:schemeClr val="lt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</a:t>
          </a:r>
          <a:r>
            <a:rPr lang="es-BO" sz="1100" baseline="0">
              <a:solidFill>
                <a:schemeClr val="lt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UAGRM, NUR, UCUMBRE,UDABOL</a:t>
          </a:r>
          <a:r>
            <a:rPr lang="es-BO" sz="1400" baseline="0">
              <a:solidFill>
                <a:schemeClr val="lt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Cel. 72109169 fred70@gmail.com</a:t>
          </a:r>
          <a:endParaRPr lang="es-BO" sz="1400">
            <a:solidFill>
              <a:schemeClr val="lt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656097</xdr:colOff>
      <xdr:row>2</xdr:row>
      <xdr:rowOff>381642</xdr:rowOff>
    </xdr:from>
    <xdr:to>
      <xdr:col>5</xdr:col>
      <xdr:colOff>754632</xdr:colOff>
      <xdr:row>12</xdr:row>
      <xdr:rowOff>9525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930145D2-A2CD-4114-A8EB-174DDCA14949}"/>
            </a:ext>
          </a:extLst>
        </xdr:cNvPr>
        <xdr:cNvSpPr/>
      </xdr:nvSpPr>
      <xdr:spPr>
        <a:xfrm>
          <a:off x="656097" y="962667"/>
          <a:ext cx="3908535" cy="1732908"/>
        </a:xfrm>
        <a:prstGeom prst="roundRect">
          <a:avLst/>
        </a:prstGeom>
        <a:solidFill>
          <a:schemeClr val="bg1">
            <a:lumMod val="50000"/>
            <a:alpha val="3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400" u="sng">
              <a:latin typeface="Times New Roman" panose="02020603050405020304" pitchFamily="18" charset="0"/>
              <a:cs typeface="Times New Roman" panose="02020603050405020304" pitchFamily="18" charset="0"/>
            </a:rPr>
            <a:t>CONTENIDO</a:t>
          </a:r>
        </a:p>
        <a:p>
          <a:pPr algn="l"/>
          <a:r>
            <a:rPr lang="es-BO" sz="1400">
              <a:latin typeface="Times New Roman" panose="02020603050405020304" pitchFamily="18" charset="0"/>
              <a:cs typeface="Times New Roman" panose="02020603050405020304" pitchFamily="18" charset="0"/>
            </a:rPr>
            <a:t>1.  Normativa</a:t>
          </a:r>
        </a:p>
        <a:p>
          <a:pPr algn="l"/>
          <a:r>
            <a:rPr lang="es-BO" sz="1400">
              <a:latin typeface="Times New Roman" panose="02020603050405020304" pitchFamily="18" charset="0"/>
              <a:cs typeface="Times New Roman" panose="02020603050405020304" pitchFamily="18" charset="0"/>
            </a:rPr>
            <a:t>2.  Planilla del RC IVA</a:t>
          </a:r>
        </a:p>
        <a:p>
          <a:pPr algn="l"/>
          <a:r>
            <a:rPr lang="es-BO" sz="1400">
              <a:latin typeface="Times New Roman" panose="02020603050405020304" pitchFamily="18" charset="0"/>
              <a:cs typeface="Times New Roman" panose="02020603050405020304" pitchFamily="18" charset="0"/>
            </a:rPr>
            <a:t>3.  Planilla</a:t>
          </a:r>
          <a:r>
            <a:rPr lang="es-BO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de Sueldos</a:t>
          </a:r>
        </a:p>
        <a:p>
          <a:pPr algn="l"/>
          <a:r>
            <a:rPr lang="es-BO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 Linea de Tiempo</a:t>
          </a:r>
        </a:p>
        <a:p>
          <a:pPr algn="l"/>
          <a:r>
            <a:rPr lang="es-BO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 Llenado F-608 v3</a:t>
          </a:r>
        </a:p>
        <a:p>
          <a:pPr algn="l"/>
          <a:r>
            <a:rPr lang="es-BO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6.  Recomendaciones</a:t>
          </a:r>
          <a:endParaRPr lang="es-BO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625037</xdr:colOff>
      <xdr:row>1</xdr:row>
      <xdr:rowOff>33173</xdr:rowOff>
    </xdr:from>
    <xdr:to>
      <xdr:col>5</xdr:col>
      <xdr:colOff>723572</xdr:colOff>
      <xdr:row>2</xdr:row>
      <xdr:rowOff>261774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20F24590-8165-4785-8228-55D41CFA5908}"/>
            </a:ext>
          </a:extLst>
        </xdr:cNvPr>
        <xdr:cNvSpPr/>
      </xdr:nvSpPr>
      <xdr:spPr>
        <a:xfrm>
          <a:off x="625037" y="223673"/>
          <a:ext cx="3908535" cy="616170"/>
        </a:xfrm>
        <a:prstGeom prst="roundRect">
          <a:avLst/>
        </a:prstGeom>
        <a:solidFill>
          <a:srgbClr val="FFFF00">
            <a:alpha val="26000"/>
          </a:srgb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400" b="1" i="0" u="none" strike="noStrike">
              <a:solidFill>
                <a:srgbClr val="FFFF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RND 1020_09 y RND 1020_10 </a:t>
          </a:r>
        </a:p>
        <a:p>
          <a:pPr algn="l"/>
          <a:r>
            <a:rPr lang="es-BO" sz="1400" b="1" i="0">
              <a:solidFill>
                <a:srgbClr val="FFFF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RC-IVA</a:t>
          </a:r>
          <a:r>
            <a:rPr lang="es-BO" sz="1400" b="1" i="0" baseline="0">
              <a:solidFill>
                <a:srgbClr val="FFFF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PROPUESTA de Aplicación Práctica</a:t>
          </a:r>
        </a:p>
        <a:p>
          <a:pPr algn="l"/>
          <a:endParaRPr lang="es-BO" sz="1100"/>
        </a:p>
      </xdr:txBody>
    </xdr:sp>
    <xdr:clientData/>
  </xdr:twoCellAnchor>
  <xdr:twoCellAnchor>
    <xdr:from>
      <xdr:col>6</xdr:col>
      <xdr:colOff>511188</xdr:colOff>
      <xdr:row>5</xdr:row>
      <xdr:rowOff>118241</xdr:rowOff>
    </xdr:from>
    <xdr:to>
      <xdr:col>8</xdr:col>
      <xdr:colOff>677629</xdr:colOff>
      <xdr:row>14</xdr:row>
      <xdr:rowOff>15132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43C9D1-DC8E-4DC4-9CB1-193783C8C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3188" y="1464879"/>
          <a:ext cx="1690441" cy="16113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140806</xdr:colOff>
      <xdr:row>13</xdr:row>
      <xdr:rowOff>33133</xdr:rowOff>
    </xdr:from>
    <xdr:to>
      <xdr:col>8</xdr:col>
      <xdr:colOff>407521</xdr:colOff>
      <xdr:row>14</xdr:row>
      <xdr:rowOff>24850</xdr:rowOff>
    </xdr:to>
    <xdr:pic>
      <xdr:nvPicPr>
        <xdr:cNvPr id="14" name="Marcador de posición de imagen 5" descr="signo de advertencia - Buscar con Google">
          <a:extLst>
            <a:ext uri="{FF2B5EF4-FFF2-40B4-BE49-F238E27FC236}">
              <a16:creationId xmlns:a16="http://schemas.microsoft.com/office/drawing/2014/main" id="{707C41F6-45D2-48A6-BB86-C0C5BCEADA89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13784" y="3304763"/>
          <a:ext cx="266715" cy="248478"/>
        </a:xfrm>
        <a:prstGeom prst="rect">
          <a:avLst/>
        </a:prstGeom>
      </xdr:spPr>
    </xdr:pic>
    <xdr:clientData/>
  </xdr:twoCellAnchor>
  <xdr:twoCellAnchor editAs="oneCell">
    <xdr:from>
      <xdr:col>9</xdr:col>
      <xdr:colOff>467141</xdr:colOff>
      <xdr:row>12</xdr:row>
      <xdr:rowOff>36445</xdr:rowOff>
    </xdr:from>
    <xdr:to>
      <xdr:col>9</xdr:col>
      <xdr:colOff>730297</xdr:colOff>
      <xdr:row>13</xdr:row>
      <xdr:rowOff>24847</xdr:rowOff>
    </xdr:to>
    <xdr:pic>
      <xdr:nvPicPr>
        <xdr:cNvPr id="15" name="Marcador de posición de imagen 5" descr="signo de advertencia - Buscar con Google">
          <a:extLst>
            <a:ext uri="{FF2B5EF4-FFF2-40B4-BE49-F238E27FC236}">
              <a16:creationId xmlns:a16="http://schemas.microsoft.com/office/drawing/2014/main" id="{4438513C-920C-45BD-AC57-BBD116A210C8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02119" y="3051315"/>
          <a:ext cx="263156" cy="245162"/>
        </a:xfrm>
        <a:prstGeom prst="rect">
          <a:avLst/>
        </a:prstGeom>
      </xdr:spPr>
    </xdr:pic>
    <xdr:clientData/>
  </xdr:twoCellAnchor>
  <xdr:oneCellAnchor>
    <xdr:from>
      <xdr:col>9</xdr:col>
      <xdr:colOff>488676</xdr:colOff>
      <xdr:row>14</xdr:row>
      <xdr:rowOff>33132</xdr:rowOff>
    </xdr:from>
    <xdr:ext cx="248477" cy="231487"/>
    <xdr:pic>
      <xdr:nvPicPr>
        <xdr:cNvPr id="16" name="Marcador de posición de imagen 5" descr="signo de advertencia - Buscar con Google">
          <a:extLst>
            <a:ext uri="{FF2B5EF4-FFF2-40B4-BE49-F238E27FC236}">
              <a16:creationId xmlns:a16="http://schemas.microsoft.com/office/drawing/2014/main" id="{5E3253D1-92FF-430D-98C9-BEADF2A7A11C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23654" y="3561523"/>
          <a:ext cx="248477" cy="231487"/>
        </a:xfrm>
        <a:prstGeom prst="rect">
          <a:avLst/>
        </a:prstGeom>
      </xdr:spPr>
    </xdr:pic>
    <xdr:clientData/>
  </xdr:oneCellAnchor>
  <xdr:twoCellAnchor>
    <xdr:from>
      <xdr:col>4</xdr:col>
      <xdr:colOff>207065</xdr:colOff>
      <xdr:row>17</xdr:row>
      <xdr:rowOff>33130</xdr:rowOff>
    </xdr:from>
    <xdr:to>
      <xdr:col>7</xdr:col>
      <xdr:colOff>562803</xdr:colOff>
      <xdr:row>20</xdr:row>
      <xdr:rowOff>115129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41E7E778-E4CA-4E4B-A90F-E42C4EB6D4C2}"/>
            </a:ext>
          </a:extLst>
        </xdr:cNvPr>
        <xdr:cNvGrpSpPr/>
      </xdr:nvGrpSpPr>
      <xdr:grpSpPr>
        <a:xfrm>
          <a:off x="2932043" y="4232413"/>
          <a:ext cx="2641738" cy="653499"/>
          <a:chOff x="5942134" y="124559"/>
          <a:chExt cx="2140395" cy="504800"/>
        </a:xfrm>
      </xdr:grpSpPr>
      <xdr:sp macro="" textlink="" fLocksText="0">
        <xdr:nvSpPr>
          <xdr:cNvPr id="18" name="Boton_arriba">
            <a:extLst>
              <a:ext uri="{FF2B5EF4-FFF2-40B4-BE49-F238E27FC236}">
                <a16:creationId xmlns:a16="http://schemas.microsoft.com/office/drawing/2014/main" id="{5817B651-710E-4F6D-AAE6-4CD08A543AC9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B4499462-B021-4270-BC0D-09651D065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  <xdr:twoCellAnchor>
    <xdr:from>
      <xdr:col>9</xdr:col>
      <xdr:colOff>607944</xdr:colOff>
      <xdr:row>2</xdr:row>
      <xdr:rowOff>193813</xdr:rowOff>
    </xdr:from>
    <xdr:to>
      <xdr:col>13</xdr:col>
      <xdr:colOff>201682</xdr:colOff>
      <xdr:row>5</xdr:row>
      <xdr:rowOff>77030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87C00708-E215-4E6E-96F9-1F9EA7810779}"/>
            </a:ext>
          </a:extLst>
        </xdr:cNvPr>
        <xdr:cNvGrpSpPr/>
      </xdr:nvGrpSpPr>
      <xdr:grpSpPr>
        <a:xfrm>
          <a:off x="7142922" y="641074"/>
          <a:ext cx="2641738" cy="653499"/>
          <a:chOff x="5942134" y="124559"/>
          <a:chExt cx="2140395" cy="504800"/>
        </a:xfrm>
      </xdr:grpSpPr>
      <xdr:sp macro="" textlink="" fLocksText="0">
        <xdr:nvSpPr>
          <xdr:cNvPr id="21" name="Boton_arriba">
            <a:extLst>
              <a:ext uri="{FF2B5EF4-FFF2-40B4-BE49-F238E27FC236}">
                <a16:creationId xmlns:a16="http://schemas.microsoft.com/office/drawing/2014/main" id="{7AA05427-94F6-4B68-9436-25CE7B53CA62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22" name="Imagen 21">
            <a:extLst>
              <a:ext uri="{FF2B5EF4-FFF2-40B4-BE49-F238E27FC236}">
                <a16:creationId xmlns:a16="http://schemas.microsoft.com/office/drawing/2014/main" id="{69B0C885-F94A-471A-9828-2C9BCBC54F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17</xdr:row>
      <xdr:rowOff>47625</xdr:rowOff>
    </xdr:from>
    <xdr:to>
      <xdr:col>6</xdr:col>
      <xdr:colOff>523875</xdr:colOff>
      <xdr:row>23</xdr:row>
      <xdr:rowOff>171450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8447629-4897-4730-8940-7F5222683488}"/>
            </a:ext>
          </a:extLst>
        </xdr:cNvPr>
        <xdr:cNvSpPr/>
      </xdr:nvSpPr>
      <xdr:spPr>
        <a:xfrm>
          <a:off x="152400" y="6781800"/>
          <a:ext cx="10448925" cy="44100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713897</xdr:colOff>
      <xdr:row>11</xdr:row>
      <xdr:rowOff>8602</xdr:rowOff>
    </xdr:from>
    <xdr:to>
      <xdr:col>10</xdr:col>
      <xdr:colOff>100984</xdr:colOff>
      <xdr:row>11</xdr:row>
      <xdr:rowOff>281928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DDA510-F53D-4665-A865-E8E868212BBE}"/>
            </a:ext>
          </a:extLst>
        </xdr:cNvPr>
        <xdr:cNvSpPr/>
      </xdr:nvSpPr>
      <xdr:spPr>
        <a:xfrm>
          <a:off x="5784128" y="2638967"/>
          <a:ext cx="911087" cy="273326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100" b="1" i="1"/>
            <a:t>Prorroga?</a:t>
          </a:r>
        </a:p>
      </xdr:txBody>
    </xdr:sp>
    <xdr:clientData/>
  </xdr:twoCellAnchor>
  <xdr:twoCellAnchor>
    <xdr:from>
      <xdr:col>19</xdr:col>
      <xdr:colOff>331304</xdr:colOff>
      <xdr:row>11</xdr:row>
      <xdr:rowOff>198783</xdr:rowOff>
    </xdr:from>
    <xdr:to>
      <xdr:col>23</xdr:col>
      <xdr:colOff>99391</xdr:colOff>
      <xdr:row>11</xdr:row>
      <xdr:rowOff>604631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FEF90084-3DE2-4405-B2D7-17AF800ED720}"/>
            </a:ext>
          </a:extLst>
        </xdr:cNvPr>
        <xdr:cNvSpPr/>
      </xdr:nvSpPr>
      <xdr:spPr>
        <a:xfrm>
          <a:off x="14005891" y="2816087"/>
          <a:ext cx="2816087" cy="405848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400" b="1" i="1"/>
            <a:t>Prorroga no exime, solo posterga.</a:t>
          </a:r>
        </a:p>
      </xdr:txBody>
    </xdr:sp>
    <xdr:clientData/>
  </xdr:twoCellAnchor>
  <xdr:twoCellAnchor>
    <xdr:from>
      <xdr:col>8</xdr:col>
      <xdr:colOff>732692</xdr:colOff>
      <xdr:row>11</xdr:row>
      <xdr:rowOff>378773</xdr:rowOff>
    </xdr:from>
    <xdr:to>
      <xdr:col>11</xdr:col>
      <xdr:colOff>637442</xdr:colOff>
      <xdr:row>11</xdr:row>
      <xdr:rowOff>685229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729FAF-7C39-46CD-95DC-8EFE72962EEF}"/>
            </a:ext>
          </a:extLst>
        </xdr:cNvPr>
        <xdr:cNvSpPr/>
      </xdr:nvSpPr>
      <xdr:spPr>
        <a:xfrm>
          <a:off x="5802923" y="3009138"/>
          <a:ext cx="2190750" cy="306456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100" b="1" i="1"/>
            <a:t>Presentación - Ley</a:t>
          </a:r>
          <a:r>
            <a:rPr lang="es-BO" sz="1100" b="1" i="1" baseline="0"/>
            <a:t> 843 + DS 21531</a:t>
          </a:r>
          <a:endParaRPr lang="es-BO" sz="1100" b="1" i="1"/>
        </a:p>
      </xdr:txBody>
    </xdr:sp>
    <xdr:clientData/>
  </xdr:twoCellAnchor>
  <xdr:twoCellAnchor>
    <xdr:from>
      <xdr:col>19</xdr:col>
      <xdr:colOff>534866</xdr:colOff>
      <xdr:row>38</xdr:row>
      <xdr:rowOff>109903</xdr:rowOff>
    </xdr:from>
    <xdr:to>
      <xdr:col>28</xdr:col>
      <xdr:colOff>725366</xdr:colOff>
      <xdr:row>49</xdr:row>
      <xdr:rowOff>87923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7624C30A-B52A-4A96-B63C-63F55FDEA4C6}"/>
            </a:ext>
          </a:extLst>
        </xdr:cNvPr>
        <xdr:cNvSpPr/>
      </xdr:nvSpPr>
      <xdr:spPr>
        <a:xfrm>
          <a:off x="13921154" y="13474211"/>
          <a:ext cx="7048500" cy="224936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La alícuota correspondiente al Impuesto al Valor Agregado (IVA) contenido en las facturas, notas fiscales o documentos equivalentes originales presentado por el dependiente en el mes, quien deberá entregar las mismas a su empleador en formulario oficial hasta el </a:t>
          </a:r>
          <a:r>
            <a:rPr lang="es-BO" sz="1200" b="1" i="1" u="sng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día veinte (20) de dicho mes, </a:t>
          </a:r>
          <a:r>
            <a:rPr lang="es-BO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acompañada de un resumen que contenga los siguientes datos: fecha e importe de cada nota fiscal, excluido el Impuesto a los Consumos Específicos, cuando corresponda, suma total y cálculo del importe resultante de aplicar la alícuota establecida para el Impuesto al Valor Agregado sobre dicha suma. Las facturas, notas fiscales o documentos equivalentes serán válidas siempre que su </a:t>
          </a:r>
          <a:r>
            <a:rPr lang="es-BO" sz="1200" b="1" i="1" u="sng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antigüedad no sea mayor a ciento veinte (120) días calendario, anteriores al día de su presentación al empleador</a:t>
          </a:r>
          <a:r>
            <a:rPr lang="es-BO" sz="1200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 debiendo estar necesariamente emitidas a nombre del dependiente que las presenta, con las excepciones que al efecto reconozca con carácter general la Administración Tributaria, mediante norma reglamentaria y firmadas por este.</a:t>
          </a:r>
        </a:p>
      </xdr:txBody>
    </xdr:sp>
    <xdr:clientData/>
  </xdr:twoCellAnchor>
  <xdr:twoCellAnchor>
    <xdr:from>
      <xdr:col>8</xdr:col>
      <xdr:colOff>747346</xdr:colOff>
      <xdr:row>11</xdr:row>
      <xdr:rowOff>791308</xdr:rowOff>
    </xdr:from>
    <xdr:to>
      <xdr:col>10</xdr:col>
      <xdr:colOff>102576</xdr:colOff>
      <xdr:row>12</xdr:row>
      <xdr:rowOff>145264</xdr:rowOff>
    </xdr:to>
    <xdr:sp macro="" textlink="">
      <xdr:nvSpPr>
        <xdr:cNvPr id="9" name="Rectángulo: esquinas redondeada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CF5040-77CE-44D9-86E8-086E1C6EE8B9}"/>
            </a:ext>
          </a:extLst>
        </xdr:cNvPr>
        <xdr:cNvSpPr/>
      </xdr:nvSpPr>
      <xdr:spPr>
        <a:xfrm>
          <a:off x="5817577" y="3421673"/>
          <a:ext cx="879230" cy="306456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100" b="1" i="1"/>
            <a:t>Facilito pic</a:t>
          </a:r>
        </a:p>
      </xdr:txBody>
    </xdr:sp>
    <xdr:clientData/>
  </xdr:twoCellAnchor>
  <xdr:twoCellAnchor>
    <xdr:from>
      <xdr:col>10</xdr:col>
      <xdr:colOff>410308</xdr:colOff>
      <xdr:row>11</xdr:row>
      <xdr:rowOff>798634</xdr:rowOff>
    </xdr:from>
    <xdr:to>
      <xdr:col>11</xdr:col>
      <xdr:colOff>608133</xdr:colOff>
      <xdr:row>12</xdr:row>
      <xdr:rowOff>152590</xdr:rowOff>
    </xdr:to>
    <xdr:sp macro="" textlink="">
      <xdr:nvSpPr>
        <xdr:cNvPr id="12" name="Rectángulo: esquinas redondeada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CE34E5-05DD-4D4D-A719-371756991853}"/>
            </a:ext>
          </a:extLst>
        </xdr:cNvPr>
        <xdr:cNvSpPr/>
      </xdr:nvSpPr>
      <xdr:spPr>
        <a:xfrm>
          <a:off x="7004539" y="3428999"/>
          <a:ext cx="959825" cy="306456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100" b="1" i="1" baseline="0"/>
            <a:t>Xcel - F110</a:t>
          </a:r>
          <a:endParaRPr lang="es-BO" sz="1100" b="1" i="1"/>
        </a:p>
      </xdr:txBody>
    </xdr:sp>
    <xdr:clientData/>
  </xdr:twoCellAnchor>
  <xdr:twoCellAnchor>
    <xdr:from>
      <xdr:col>10</xdr:col>
      <xdr:colOff>652096</xdr:colOff>
      <xdr:row>10</xdr:row>
      <xdr:rowOff>183174</xdr:rowOff>
    </xdr:from>
    <xdr:to>
      <xdr:col>13</xdr:col>
      <xdr:colOff>454269</xdr:colOff>
      <xdr:row>11</xdr:row>
      <xdr:rowOff>234463</xdr:rowOff>
    </xdr:to>
    <xdr:sp macro="" textlink="">
      <xdr:nvSpPr>
        <xdr:cNvPr id="14" name="Rectángulo: esquinas redondeada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608622-A50C-4317-AA64-C2B367B9CE91}"/>
            </a:ext>
          </a:extLst>
        </xdr:cNvPr>
        <xdr:cNvSpPr/>
      </xdr:nvSpPr>
      <xdr:spPr>
        <a:xfrm>
          <a:off x="7246327" y="2564424"/>
          <a:ext cx="2088173" cy="300404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100" b="1" i="1"/>
            <a:t>Fechas F-110,</a:t>
          </a:r>
          <a:r>
            <a:rPr lang="es-BO" sz="1100" b="1" i="1" baseline="0"/>
            <a:t> </a:t>
          </a:r>
          <a:r>
            <a:rPr lang="es-BO" sz="1100" b="1" i="1"/>
            <a:t>El</a:t>
          </a:r>
          <a:r>
            <a:rPr lang="es-BO" sz="1100" b="1" i="1" baseline="0"/>
            <a:t> deber 24.4.20</a:t>
          </a:r>
          <a:endParaRPr lang="es-BO" sz="1100" b="1" i="1"/>
        </a:p>
      </xdr:txBody>
    </xdr:sp>
    <xdr:clientData/>
  </xdr:twoCellAnchor>
  <xdr:twoCellAnchor>
    <xdr:from>
      <xdr:col>0</xdr:col>
      <xdr:colOff>80595</xdr:colOff>
      <xdr:row>20</xdr:row>
      <xdr:rowOff>0</xdr:rowOff>
    </xdr:from>
    <xdr:to>
      <xdr:col>13</xdr:col>
      <xdr:colOff>688730</xdr:colOff>
      <xdr:row>23</xdr:row>
      <xdr:rowOff>681404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455E82E-7CAB-4330-B0B2-E90EA36F1635}"/>
            </a:ext>
          </a:extLst>
        </xdr:cNvPr>
        <xdr:cNvSpPr/>
      </xdr:nvSpPr>
      <xdr:spPr>
        <a:xfrm>
          <a:off x="80595" y="5722327"/>
          <a:ext cx="9488366" cy="2557096"/>
        </a:xfrm>
        <a:prstGeom prst="rect">
          <a:avLst/>
        </a:prstGeom>
        <a:solidFill>
          <a:sysClr val="window" lastClr="FFFFFF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10</xdr:col>
      <xdr:colOff>359019</xdr:colOff>
      <xdr:row>0</xdr:row>
      <xdr:rowOff>51289</xdr:rowOff>
    </xdr:from>
    <xdr:to>
      <xdr:col>13</xdr:col>
      <xdr:colOff>213414</xdr:colOff>
      <xdr:row>2</xdr:row>
      <xdr:rowOff>116474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B0E562A0-AB44-4F62-A8C9-DB6122E4E9CE}"/>
            </a:ext>
          </a:extLst>
        </xdr:cNvPr>
        <xdr:cNvGrpSpPr/>
      </xdr:nvGrpSpPr>
      <xdr:grpSpPr>
        <a:xfrm>
          <a:off x="6954260" y="51289"/>
          <a:ext cx="2140395" cy="505306"/>
          <a:chOff x="5942134" y="124559"/>
          <a:chExt cx="2140395" cy="504800"/>
        </a:xfrm>
      </xdr:grpSpPr>
      <xdr:sp macro="" textlink="" fLocksText="0">
        <xdr:nvSpPr>
          <xdr:cNvPr id="26" name="Boton_arriba">
            <a:extLst>
              <a:ext uri="{FF2B5EF4-FFF2-40B4-BE49-F238E27FC236}">
                <a16:creationId xmlns:a16="http://schemas.microsoft.com/office/drawing/2014/main" id="{AAC77878-771A-4915-86B1-80588010678D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7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7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700" i="1"/>
          </a:p>
          <a:p>
            <a:pPr algn="l"/>
            <a:r>
              <a:rPr lang="es-BO" sz="700" i="1"/>
              <a:t>CEL. 72109169</a:t>
            </a:r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0775E3AB-FE30-4B14-8135-452DC3D566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  <xdr:twoCellAnchor>
    <xdr:from>
      <xdr:col>8</xdr:col>
      <xdr:colOff>329711</xdr:colOff>
      <xdr:row>0</xdr:row>
      <xdr:rowOff>146539</xdr:rowOff>
    </xdr:from>
    <xdr:to>
      <xdr:col>9</xdr:col>
      <xdr:colOff>754672</xdr:colOff>
      <xdr:row>2</xdr:row>
      <xdr:rowOff>117232</xdr:rowOff>
    </xdr:to>
    <xdr:sp macro="" textlink="">
      <xdr:nvSpPr>
        <xdr:cNvPr id="3" name="Elipse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28DD06-6748-4952-8654-86DCCB636F64}"/>
            </a:ext>
          </a:extLst>
        </xdr:cNvPr>
        <xdr:cNvSpPr/>
      </xdr:nvSpPr>
      <xdr:spPr>
        <a:xfrm>
          <a:off x="5399942" y="146539"/>
          <a:ext cx="1186961" cy="410308"/>
        </a:xfrm>
        <a:prstGeom prst="ellips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100" b="1"/>
            <a:t>Ver multas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723901</xdr:colOff>
      <xdr:row>3</xdr:row>
      <xdr:rowOff>171450</xdr:rowOff>
    </xdr:from>
    <xdr:to>
      <xdr:col>10</xdr:col>
      <xdr:colOff>400051</xdr:colOff>
      <xdr:row>8</xdr:row>
      <xdr:rowOff>190500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91D56BD6-C3CC-4BF1-BE77-CB2F70A77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4</xdr:col>
      <xdr:colOff>500063</xdr:colOff>
      <xdr:row>8</xdr:row>
      <xdr:rowOff>171449</xdr:rowOff>
    </xdr:from>
    <xdr:to>
      <xdr:col>9</xdr:col>
      <xdr:colOff>257177</xdr:colOff>
      <xdr:row>9</xdr:row>
      <xdr:rowOff>80962</xdr:rowOff>
    </xdr:to>
    <xdr:sp macro="" textlink="">
      <xdr:nvSpPr>
        <xdr:cNvPr id="3" name="Abrir llave 2">
          <a:extLst>
            <a:ext uri="{FF2B5EF4-FFF2-40B4-BE49-F238E27FC236}">
              <a16:creationId xmlns:a16="http://schemas.microsoft.com/office/drawing/2014/main" id="{6B732FA7-1834-4DF2-BC3A-C5460B59EC07}"/>
            </a:ext>
          </a:extLst>
        </xdr:cNvPr>
        <xdr:cNvSpPr/>
      </xdr:nvSpPr>
      <xdr:spPr>
        <a:xfrm rot="16200000">
          <a:off x="5353051" y="-347664"/>
          <a:ext cx="176213" cy="3786189"/>
        </a:xfrm>
        <a:prstGeom prst="leftBrace">
          <a:avLst>
            <a:gd name="adj1" fmla="val 124333"/>
            <a:gd name="adj2" fmla="val 50503"/>
          </a:avLst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BO" sz="1100" b="1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2</xdr:col>
      <xdr:colOff>361951</xdr:colOff>
      <xdr:row>16</xdr:row>
      <xdr:rowOff>142875</xdr:rowOff>
    </xdr:from>
    <xdr:to>
      <xdr:col>8</xdr:col>
      <xdr:colOff>323851</xdr:colOff>
      <xdr:row>26</xdr:row>
      <xdr:rowOff>142875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D6BBB738-C6C1-40AA-A9BF-A539C762B7FF}"/>
            </a:ext>
          </a:extLst>
        </xdr:cNvPr>
        <xdr:cNvGrpSpPr/>
      </xdr:nvGrpSpPr>
      <xdr:grpSpPr>
        <a:xfrm>
          <a:off x="1885951" y="3791683"/>
          <a:ext cx="5413131" cy="1985596"/>
          <a:chOff x="1885951" y="3390903"/>
          <a:chExt cx="4752975" cy="2066927"/>
        </a:xfrm>
      </xdr:grpSpPr>
      <xdr:sp macro="" textlink="">
        <xdr:nvSpPr>
          <xdr:cNvPr id="4" name="Elipse 3">
            <a:extLst>
              <a:ext uri="{FF2B5EF4-FFF2-40B4-BE49-F238E27FC236}">
                <a16:creationId xmlns:a16="http://schemas.microsoft.com/office/drawing/2014/main" id="{291C2E2D-D243-4D39-858A-E6B4095F25ED}"/>
              </a:ext>
            </a:extLst>
          </xdr:cNvPr>
          <xdr:cNvSpPr/>
        </xdr:nvSpPr>
        <xdr:spPr>
          <a:xfrm>
            <a:off x="1885951" y="3962404"/>
            <a:ext cx="819150" cy="704851"/>
          </a:xfrm>
          <a:prstGeom prst="ellipse">
            <a:avLst/>
          </a:prstGeom>
          <a:ln>
            <a:noFill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4800000"/>
            </a:lightRig>
          </a:scene3d>
          <a:sp3d prstMaterial="matte">
            <a:bevelT w="127000" h="635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  <a:p>
            <a:pPr algn="l"/>
            <a:r>
              <a:rPr lang="es-BO" sz="1100" b="1">
                <a:solidFill>
                  <a:srgbClr val="FFFF00"/>
                </a:solidFill>
              </a:rPr>
              <a:t>ABRIL</a:t>
            </a:r>
          </a:p>
        </xdr:txBody>
      </xdr:sp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F0E5B73C-C10C-4007-8EE2-71055D61B35B}"/>
              </a:ext>
            </a:extLst>
          </xdr:cNvPr>
          <xdr:cNvSpPr/>
        </xdr:nvSpPr>
        <xdr:spPr>
          <a:xfrm>
            <a:off x="3162301" y="3981454"/>
            <a:ext cx="819150" cy="704851"/>
          </a:xfrm>
          <a:prstGeom prst="ellipse">
            <a:avLst/>
          </a:prstGeom>
          <a:ln>
            <a:noFill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4800000"/>
            </a:lightRig>
          </a:scene3d>
          <a:sp3d prstMaterial="matte">
            <a:bevelT w="127000" h="635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  <a:p>
            <a:pPr algn="l"/>
            <a:r>
              <a:rPr lang="es-BO" sz="1100" b="1">
                <a:solidFill>
                  <a:srgbClr val="FFFF00"/>
                </a:solidFill>
              </a:rPr>
              <a:t>MAYO</a:t>
            </a:r>
          </a:p>
        </xdr:txBody>
      </xdr:sp>
      <xdr:sp macro="" textlink="">
        <xdr:nvSpPr>
          <xdr:cNvPr id="6" name="Elipse 5">
            <a:extLst>
              <a:ext uri="{FF2B5EF4-FFF2-40B4-BE49-F238E27FC236}">
                <a16:creationId xmlns:a16="http://schemas.microsoft.com/office/drawing/2014/main" id="{37862CF6-3EFD-44CC-8B0E-7C7AA4A9161E}"/>
              </a:ext>
            </a:extLst>
          </xdr:cNvPr>
          <xdr:cNvSpPr/>
        </xdr:nvSpPr>
        <xdr:spPr>
          <a:xfrm>
            <a:off x="4543426" y="3971929"/>
            <a:ext cx="819150" cy="704851"/>
          </a:xfrm>
          <a:prstGeom prst="ellipse">
            <a:avLst/>
          </a:prstGeom>
          <a:ln>
            <a:noFill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4800000"/>
            </a:lightRig>
          </a:scene3d>
          <a:sp3d prstMaterial="matte">
            <a:bevelT w="127000" h="635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  <a:p>
            <a:pPr algn="l"/>
            <a:r>
              <a:rPr lang="es-BO" sz="1100" b="1">
                <a:solidFill>
                  <a:srgbClr val="FFFF00"/>
                </a:solidFill>
              </a:rPr>
              <a:t>JUNIO</a:t>
            </a:r>
          </a:p>
        </xdr:txBody>
      </xdr:sp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6BAB8D4B-C1FB-4950-9690-953FA50ADDBA}"/>
              </a:ext>
            </a:extLst>
          </xdr:cNvPr>
          <xdr:cNvSpPr/>
        </xdr:nvSpPr>
        <xdr:spPr>
          <a:xfrm>
            <a:off x="5819776" y="3981454"/>
            <a:ext cx="819150" cy="704851"/>
          </a:xfrm>
          <a:prstGeom prst="ellipse">
            <a:avLst/>
          </a:prstGeom>
          <a:ln>
            <a:noFill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4800000"/>
            </a:lightRig>
          </a:scene3d>
          <a:sp3d prstMaterial="matte">
            <a:bevelT w="127000" h="635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  <a:p>
            <a:pPr algn="l"/>
            <a:r>
              <a:rPr lang="es-BO" sz="1100" b="1">
                <a:solidFill>
                  <a:srgbClr val="FFFF00"/>
                </a:solidFill>
              </a:rPr>
              <a:t>JULIO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D1596330-474A-4648-A4AF-2D44DB80ED23}"/>
              </a:ext>
            </a:extLst>
          </xdr:cNvPr>
          <xdr:cNvCxnSpPr/>
        </xdr:nvCxnSpPr>
        <xdr:spPr>
          <a:xfrm>
            <a:off x="2428875" y="4276729"/>
            <a:ext cx="4133850" cy="28575"/>
          </a:xfrm>
          <a:prstGeom prst="line">
            <a:avLst/>
          </a:prstGeom>
          <a:ln w="57150">
            <a:noFill/>
          </a:ln>
          <a:effectLst>
            <a:outerShdw blurRad="190500" dist="228600" dir="2700000" algn="ctr">
              <a:srgbClr val="000000">
                <a:alpha val="30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4800000"/>
            </a:lightRig>
          </a:scene3d>
          <a:sp3d prstMaterial="matte">
            <a:bevelT w="127000" h="63500"/>
          </a:sp3d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Flecha: curvada hacia abajo 10">
            <a:extLst>
              <a:ext uri="{FF2B5EF4-FFF2-40B4-BE49-F238E27FC236}">
                <a16:creationId xmlns:a16="http://schemas.microsoft.com/office/drawing/2014/main" id="{6AB7E792-666C-459D-B5CC-91A57F684D47}"/>
              </a:ext>
            </a:extLst>
          </xdr:cNvPr>
          <xdr:cNvSpPr/>
        </xdr:nvSpPr>
        <xdr:spPr>
          <a:xfrm>
            <a:off x="2228851" y="3390903"/>
            <a:ext cx="2762250" cy="542925"/>
          </a:xfrm>
          <a:prstGeom prst="curvedDownArrow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>
              <a:solidFill>
                <a:schemeClr val="tx1"/>
              </a:solidFill>
            </a:endParaRPr>
          </a:p>
          <a:p>
            <a:pPr algn="l"/>
            <a:r>
              <a:rPr lang="es-BO" sz="1100">
                <a:solidFill>
                  <a:schemeClr val="tx1"/>
                </a:solidFill>
              </a:rPr>
              <a:t>                              </a:t>
            </a:r>
            <a:r>
              <a:rPr lang="es-BO" sz="1600" b="1">
                <a:solidFill>
                  <a:srgbClr val="FF0000"/>
                </a:solidFill>
              </a:rPr>
              <a:t>Prorroga F-110</a:t>
            </a:r>
            <a:endParaRPr lang="es-BO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12" name="Flecha: curvada hacia abajo 11">
            <a:extLst>
              <a:ext uri="{FF2B5EF4-FFF2-40B4-BE49-F238E27FC236}">
                <a16:creationId xmlns:a16="http://schemas.microsoft.com/office/drawing/2014/main" id="{7AC2C571-AFE6-4E5D-9296-CC314C6D9CC5}"/>
              </a:ext>
            </a:extLst>
          </xdr:cNvPr>
          <xdr:cNvSpPr/>
        </xdr:nvSpPr>
        <xdr:spPr>
          <a:xfrm>
            <a:off x="3419475" y="3400428"/>
            <a:ext cx="1876425" cy="552451"/>
          </a:xfrm>
          <a:prstGeom prst="curvedDownArrow">
            <a:avLst/>
          </a:prstGeom>
          <a:solidFill>
            <a:schemeClr val="accent1">
              <a:alpha val="56000"/>
            </a:schemeClr>
          </a:solidFill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>
              <a:solidFill>
                <a:schemeClr val="tx1"/>
              </a:solidFill>
            </a:endParaRPr>
          </a:p>
          <a:p>
            <a:pPr algn="l"/>
            <a:r>
              <a:rPr lang="es-BO" sz="1100">
                <a:solidFill>
                  <a:schemeClr val="tx1"/>
                </a:solidFill>
              </a:rPr>
              <a:t>                              </a:t>
            </a:r>
          </a:p>
        </xdr:txBody>
      </xdr:sp>
      <xdr:sp macro="" textlink="">
        <xdr:nvSpPr>
          <xdr:cNvPr id="15" name="Flecha: curvada hacia arriba 14">
            <a:extLst>
              <a:ext uri="{FF2B5EF4-FFF2-40B4-BE49-F238E27FC236}">
                <a16:creationId xmlns:a16="http://schemas.microsoft.com/office/drawing/2014/main" id="{CBE2690A-895D-4217-94C1-590B0FE84707}"/>
              </a:ext>
            </a:extLst>
          </xdr:cNvPr>
          <xdr:cNvSpPr/>
        </xdr:nvSpPr>
        <xdr:spPr>
          <a:xfrm>
            <a:off x="2190750" y="4772029"/>
            <a:ext cx="2743200" cy="685801"/>
          </a:xfrm>
          <a:prstGeom prst="curvedUpArrow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BO" sz="1400" b="1">
                <a:solidFill>
                  <a:srgbClr val="FF0000"/>
                </a:solidFill>
              </a:rPr>
              <a:t>Prorroga</a:t>
            </a:r>
          </a:p>
          <a:p>
            <a:pPr algn="ctr"/>
            <a:r>
              <a:rPr lang="es-BO" sz="1400" b="1" baseline="0">
                <a:solidFill>
                  <a:srgbClr val="FF0000"/>
                </a:solidFill>
              </a:rPr>
              <a:t>Planilla Tributaria V2</a:t>
            </a:r>
            <a:endParaRPr lang="es-BO" sz="1400" b="1">
              <a:solidFill>
                <a:srgbClr val="FF0000"/>
              </a:solidFill>
            </a:endParaRPr>
          </a:p>
        </xdr:txBody>
      </xdr:sp>
      <xdr:sp macro="" textlink="">
        <xdr:nvSpPr>
          <xdr:cNvPr id="16" name="Flecha: curvada hacia arriba 15">
            <a:extLst>
              <a:ext uri="{FF2B5EF4-FFF2-40B4-BE49-F238E27FC236}">
                <a16:creationId xmlns:a16="http://schemas.microsoft.com/office/drawing/2014/main" id="{082E04F4-86AC-4B78-BA1C-E00DD02A77AE}"/>
              </a:ext>
            </a:extLst>
          </xdr:cNvPr>
          <xdr:cNvSpPr/>
        </xdr:nvSpPr>
        <xdr:spPr>
          <a:xfrm>
            <a:off x="3514725" y="4752975"/>
            <a:ext cx="1600200" cy="419100"/>
          </a:xfrm>
          <a:prstGeom prst="curvedUpArrow">
            <a:avLst/>
          </a:prstGeom>
          <a:solidFill>
            <a:schemeClr val="accent1">
              <a:alpha val="16000"/>
            </a:schemeClr>
          </a:solidFill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6</xdr:col>
      <xdr:colOff>758124</xdr:colOff>
      <xdr:row>25</xdr:row>
      <xdr:rowOff>259660</xdr:rowOff>
    </xdr:from>
    <xdr:to>
      <xdr:col>9</xdr:col>
      <xdr:colOff>15760</xdr:colOff>
      <xdr:row>33</xdr:row>
      <xdr:rowOff>118441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16EBAB7D-D41B-44D8-BD53-710CFE9A0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08081" y="5759312"/>
          <a:ext cx="1543636" cy="14573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twoCellAnchor editAs="oneCell">
    <xdr:from>
      <xdr:col>7</xdr:col>
      <xdr:colOff>113738</xdr:colOff>
      <xdr:row>26</xdr:row>
      <xdr:rowOff>188844</xdr:rowOff>
    </xdr:from>
    <xdr:to>
      <xdr:col>9</xdr:col>
      <xdr:colOff>133374</xdr:colOff>
      <xdr:row>34</xdr:row>
      <xdr:rowOff>122169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62E5484F-9743-42A9-9F8B-A72D239A9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25695" y="5953540"/>
          <a:ext cx="1543636" cy="14573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twoCellAnchor editAs="oneCell">
    <xdr:from>
      <xdr:col>7</xdr:col>
      <xdr:colOff>261582</xdr:colOff>
      <xdr:row>28</xdr:row>
      <xdr:rowOff>31474</xdr:rowOff>
    </xdr:from>
    <xdr:to>
      <xdr:col>9</xdr:col>
      <xdr:colOff>281218</xdr:colOff>
      <xdr:row>35</xdr:row>
      <xdr:rowOff>155299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9F1B525-A9B3-4360-95BE-9BC626224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73539" y="6177170"/>
          <a:ext cx="1543636" cy="1457325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twoCellAnchor>
    <xdr:from>
      <xdr:col>5</xdr:col>
      <xdr:colOff>588065</xdr:colOff>
      <xdr:row>0</xdr:row>
      <xdr:rowOff>74543</xdr:rowOff>
    </xdr:from>
    <xdr:to>
      <xdr:col>8</xdr:col>
      <xdr:colOff>41413</xdr:colOff>
      <xdr:row>2</xdr:row>
      <xdr:rowOff>190499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4F850A41-8555-4E74-B889-AC1104FCFAED}"/>
            </a:ext>
          </a:extLst>
        </xdr:cNvPr>
        <xdr:cNvGrpSpPr/>
      </xdr:nvGrpSpPr>
      <xdr:grpSpPr>
        <a:xfrm>
          <a:off x="4969565" y="74543"/>
          <a:ext cx="2047079" cy="548244"/>
          <a:chOff x="5942134" y="124559"/>
          <a:chExt cx="2140395" cy="504800"/>
        </a:xfrm>
      </xdr:grpSpPr>
      <xdr:sp macro="" textlink="" fLocksText="0">
        <xdr:nvSpPr>
          <xdr:cNvPr id="28" name="Boton_arriba">
            <a:extLst>
              <a:ext uri="{FF2B5EF4-FFF2-40B4-BE49-F238E27FC236}">
                <a16:creationId xmlns:a16="http://schemas.microsoft.com/office/drawing/2014/main" id="{151D51DE-CEA7-42AA-A65C-B2C1DADB407C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7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7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700" i="1"/>
          </a:p>
          <a:p>
            <a:pPr algn="l"/>
            <a:r>
              <a:rPr lang="es-BO" sz="700" i="1"/>
              <a:t>CEL. 72109169</a:t>
            </a:r>
          </a:p>
        </xdr:txBody>
      </xdr:sp>
      <xdr:pic>
        <xdr:nvPicPr>
          <xdr:cNvPr id="29" name="Imagen 28">
            <a:extLst>
              <a:ext uri="{FF2B5EF4-FFF2-40B4-BE49-F238E27FC236}">
                <a16:creationId xmlns:a16="http://schemas.microsoft.com/office/drawing/2014/main" id="{9656F4DC-5ED4-47FF-BD81-CC7B37DCFD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  <xdr:twoCellAnchor>
    <xdr:from>
      <xdr:col>2</xdr:col>
      <xdr:colOff>513522</xdr:colOff>
      <xdr:row>13</xdr:row>
      <xdr:rowOff>132521</xdr:rowOff>
    </xdr:from>
    <xdr:to>
      <xdr:col>4</xdr:col>
      <xdr:colOff>836543</xdr:colOff>
      <xdr:row>15</xdr:row>
      <xdr:rowOff>66261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3E9142DB-0954-4879-82E8-33408BB28AEC}"/>
            </a:ext>
          </a:extLst>
        </xdr:cNvPr>
        <xdr:cNvSpPr/>
      </xdr:nvSpPr>
      <xdr:spPr>
        <a:xfrm>
          <a:off x="2037522" y="3122543"/>
          <a:ext cx="2145195" cy="331305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400" b="1">
              <a:solidFill>
                <a:srgbClr val="FFFF00"/>
              </a:solidFill>
              <a:latin typeface="Bahnschrift" panose="020B0502040204020203" pitchFamily="34" charset="0"/>
              <a:cs typeface="Angsana New" panose="02020603050405020304" pitchFamily="18" charset="-34"/>
            </a:rPr>
            <a:t>Timeline - Obligaciones</a:t>
          </a:r>
        </a:p>
      </xdr:txBody>
    </xdr:sp>
    <xdr:clientData/>
  </xdr:twoCellAnchor>
  <xdr:twoCellAnchor>
    <xdr:from>
      <xdr:col>6</xdr:col>
      <xdr:colOff>629476</xdr:colOff>
      <xdr:row>16</xdr:row>
      <xdr:rowOff>140804</xdr:rowOff>
    </xdr:from>
    <xdr:to>
      <xdr:col>8</xdr:col>
      <xdr:colOff>596346</xdr:colOff>
      <xdr:row>18</xdr:row>
      <xdr:rowOff>91109</xdr:rowOff>
    </xdr:to>
    <xdr:sp macro="" textlink="">
      <xdr:nvSpPr>
        <xdr:cNvPr id="10" name="Rectángulo: esquinas diagonales cortadas 9">
          <a:extLst>
            <a:ext uri="{FF2B5EF4-FFF2-40B4-BE49-F238E27FC236}">
              <a16:creationId xmlns:a16="http://schemas.microsoft.com/office/drawing/2014/main" id="{68DCB7CB-834A-442E-B846-132EE25208E8}"/>
            </a:ext>
          </a:extLst>
        </xdr:cNvPr>
        <xdr:cNvSpPr/>
      </xdr:nvSpPr>
      <xdr:spPr>
        <a:xfrm>
          <a:off x="6079433" y="3785152"/>
          <a:ext cx="1490870" cy="339587"/>
        </a:xfrm>
        <a:prstGeom prst="snip2Diag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100">
              <a:solidFill>
                <a:srgbClr val="FFFF00"/>
              </a:solidFill>
              <a:latin typeface="Arial Rounded MT Bold" panose="020F0704030504030204" pitchFamily="34" charset="0"/>
            </a:rPr>
            <a:t>13-22/Julio/2020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22</xdr:row>
      <xdr:rowOff>142875</xdr:rowOff>
    </xdr:from>
    <xdr:to>
      <xdr:col>16</xdr:col>
      <xdr:colOff>544641</xdr:colOff>
      <xdr:row>60</xdr:row>
      <xdr:rowOff>20043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49BCA9-91E9-406D-9D5F-A53414FB3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4333875"/>
          <a:ext cx="12298491" cy="7116168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0</xdr:row>
      <xdr:rowOff>152400</xdr:rowOff>
    </xdr:from>
    <xdr:to>
      <xdr:col>16</xdr:col>
      <xdr:colOff>277997</xdr:colOff>
      <xdr:row>20</xdr:row>
      <xdr:rowOff>85725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5020A6E-078E-4A2D-86C3-D07603A4A719}"/>
            </a:ext>
          </a:extLst>
        </xdr:cNvPr>
        <xdr:cNvGrpSpPr/>
      </xdr:nvGrpSpPr>
      <xdr:grpSpPr>
        <a:xfrm>
          <a:off x="104775" y="152400"/>
          <a:ext cx="12365222" cy="3743325"/>
          <a:chOff x="9391650" y="9163050"/>
          <a:chExt cx="12698597" cy="379095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C1DA446E-A694-44E1-8C74-4ECCCD63F6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12746" y="10779725"/>
            <a:ext cx="12286969" cy="2174275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C8FEA87-F183-4C88-AFB6-DF0F00D0A9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391650" y="9163050"/>
            <a:ext cx="12698597" cy="162900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0</xdr:colOff>
      <xdr:row>123</xdr:row>
      <xdr:rowOff>0</xdr:rowOff>
    </xdr:from>
    <xdr:to>
      <xdr:col>10</xdr:col>
      <xdr:colOff>161925</xdr:colOff>
      <xdr:row>162</xdr:row>
      <xdr:rowOff>82706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D6D7B34-829C-4F07-A510-7959FE984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24850725"/>
          <a:ext cx="6257925" cy="7512206"/>
        </a:xfrm>
        <a:prstGeom prst="rect">
          <a:avLst/>
        </a:prstGeom>
      </xdr:spPr>
    </xdr:pic>
    <xdr:clientData/>
  </xdr:twoCellAnchor>
  <xdr:twoCellAnchor editAs="oneCell">
    <xdr:from>
      <xdr:col>1</xdr:col>
      <xdr:colOff>514349</xdr:colOff>
      <xdr:row>168</xdr:row>
      <xdr:rowOff>38099</xdr:rowOff>
    </xdr:from>
    <xdr:to>
      <xdr:col>12</xdr:col>
      <xdr:colOff>104774</xdr:colOff>
      <xdr:row>198</xdr:row>
      <xdr:rowOff>14107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E180DC3-E8EE-4F18-8393-BDDEA7A57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6349" y="33461324"/>
          <a:ext cx="7972425" cy="569100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229</xdr:row>
      <xdr:rowOff>104775</xdr:rowOff>
    </xdr:from>
    <xdr:to>
      <xdr:col>12</xdr:col>
      <xdr:colOff>576082</xdr:colOff>
      <xdr:row>263</xdr:row>
      <xdr:rowOff>57150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A4BB270-13E0-4FEA-B549-A7920FD4F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33525" y="45148500"/>
          <a:ext cx="8186557" cy="6429375"/>
        </a:xfrm>
        <a:prstGeom prst="rect">
          <a:avLst/>
        </a:prstGeom>
      </xdr:spPr>
    </xdr:pic>
    <xdr:clientData/>
  </xdr:twoCellAnchor>
  <xdr:twoCellAnchor>
    <xdr:from>
      <xdr:col>9</xdr:col>
      <xdr:colOff>547065</xdr:colOff>
      <xdr:row>0</xdr:row>
      <xdr:rowOff>73714</xdr:rowOff>
    </xdr:from>
    <xdr:to>
      <xdr:col>13</xdr:col>
      <xdr:colOff>137490</xdr:colOff>
      <xdr:row>3</xdr:row>
      <xdr:rowOff>149915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FCD5DB2F-663B-4F8D-B50C-0A03A68E4683}"/>
            </a:ext>
          </a:extLst>
        </xdr:cNvPr>
        <xdr:cNvGrpSpPr/>
      </xdr:nvGrpSpPr>
      <xdr:grpSpPr>
        <a:xfrm>
          <a:off x="7405065" y="73714"/>
          <a:ext cx="2638425" cy="647701"/>
          <a:chOff x="5942134" y="124559"/>
          <a:chExt cx="2140395" cy="504800"/>
        </a:xfrm>
      </xdr:grpSpPr>
      <xdr:sp macro="" textlink="" fLocksText="0">
        <xdr:nvSpPr>
          <xdr:cNvPr id="19" name="Boton_arriba">
            <a:extLst>
              <a:ext uri="{FF2B5EF4-FFF2-40B4-BE49-F238E27FC236}">
                <a16:creationId xmlns:a16="http://schemas.microsoft.com/office/drawing/2014/main" id="{8B51CEEA-EDEB-4B27-9094-6397B3993BF3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1747E9D7-E84D-4813-8850-BB39E7A5E9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352425</xdr:colOff>
      <xdr:row>4</xdr:row>
      <xdr:rowOff>134180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C86BB33C-1804-4F7F-ADA6-92FDC209D4C5}"/>
            </a:ext>
          </a:extLst>
        </xdr:cNvPr>
        <xdr:cNvGrpSpPr/>
      </xdr:nvGrpSpPr>
      <xdr:grpSpPr>
        <a:xfrm>
          <a:off x="6623538" y="512885"/>
          <a:ext cx="2638425" cy="647064"/>
          <a:chOff x="5942134" y="124559"/>
          <a:chExt cx="2140395" cy="504800"/>
        </a:xfrm>
      </xdr:grpSpPr>
      <xdr:sp macro="" textlink="" fLocksText="0">
        <xdr:nvSpPr>
          <xdr:cNvPr id="9" name="Boton_arriba">
            <a:extLst>
              <a:ext uri="{FF2B5EF4-FFF2-40B4-BE49-F238E27FC236}">
                <a16:creationId xmlns:a16="http://schemas.microsoft.com/office/drawing/2014/main" id="{3E0BA17D-0981-46D5-BC1E-412FE14DC5C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B634965-2AF2-46DC-8217-EC521D46F9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139211</xdr:colOff>
      <xdr:row>1</xdr:row>
      <xdr:rowOff>43962</xdr:rowOff>
    </xdr:from>
    <xdr:to>
      <xdr:col>23</xdr:col>
      <xdr:colOff>169252</xdr:colOff>
      <xdr:row>4</xdr:row>
      <xdr:rowOff>112836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300F7FB6-AB85-49D1-8025-299B95584393}"/>
            </a:ext>
          </a:extLst>
        </xdr:cNvPr>
        <xdr:cNvGrpSpPr/>
      </xdr:nvGrpSpPr>
      <xdr:grpSpPr>
        <a:xfrm>
          <a:off x="9955564" y="234462"/>
          <a:ext cx="2629806" cy="651580"/>
          <a:chOff x="5942134" y="124559"/>
          <a:chExt cx="2140395" cy="504800"/>
        </a:xfrm>
      </xdr:grpSpPr>
      <xdr:sp macro="" textlink="" fLocksText="0">
        <xdr:nvSpPr>
          <xdr:cNvPr id="10" name="Boton_arriba">
            <a:extLst>
              <a:ext uri="{FF2B5EF4-FFF2-40B4-BE49-F238E27FC236}">
                <a16:creationId xmlns:a16="http://schemas.microsoft.com/office/drawing/2014/main" id="{BD440E41-C682-40EC-85FC-0DB500AC55EB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F834C414-6407-4216-A1C2-16494F9C77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824930</xdr:colOff>
      <xdr:row>5</xdr:row>
      <xdr:rowOff>108857</xdr:rowOff>
    </xdr:from>
    <xdr:to>
      <xdr:col>28</xdr:col>
      <xdr:colOff>258535</xdr:colOff>
      <xdr:row>12</xdr:row>
      <xdr:rowOff>273024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35CA46C-36A2-4130-8139-8FF8CD39AE08}"/>
            </a:ext>
          </a:extLst>
        </xdr:cNvPr>
        <xdr:cNvGrpSpPr/>
      </xdr:nvGrpSpPr>
      <xdr:grpSpPr>
        <a:xfrm>
          <a:off x="22608191" y="1367814"/>
          <a:ext cx="2001214" cy="2698645"/>
          <a:chOff x="22977359" y="489857"/>
          <a:chExt cx="2005355" cy="2667882"/>
        </a:xfrm>
      </xdr:grpSpPr>
      <xdr:sp macro="" textlink="">
        <xdr:nvSpPr>
          <xdr:cNvPr id="3" name="Franja diagonal 2">
            <a:extLst>
              <a:ext uri="{FF2B5EF4-FFF2-40B4-BE49-F238E27FC236}">
                <a16:creationId xmlns:a16="http://schemas.microsoft.com/office/drawing/2014/main" id="{DD3EA430-B37F-45EE-B3C5-744829905F43}"/>
              </a:ext>
            </a:extLst>
          </xdr:cNvPr>
          <xdr:cNvSpPr/>
        </xdr:nvSpPr>
        <xdr:spPr>
          <a:xfrm rot="6986152">
            <a:off x="22984045" y="1699476"/>
            <a:ext cx="1451577" cy="1464950"/>
          </a:xfrm>
          <a:prstGeom prst="diagStripe">
            <a:avLst>
              <a:gd name="adj" fmla="val 48477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E2F9837A-6BC3-421F-93C2-789A0603E5D2}"/>
              </a:ext>
            </a:extLst>
          </xdr:cNvPr>
          <xdr:cNvSpPr/>
        </xdr:nvSpPr>
        <xdr:spPr>
          <a:xfrm rot="1957269">
            <a:off x="24465642" y="489857"/>
            <a:ext cx="517072" cy="2517321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</xdr:grpSp>
    <xdr:clientData/>
  </xdr:twoCellAnchor>
  <xdr:twoCellAnchor>
    <xdr:from>
      <xdr:col>24</xdr:col>
      <xdr:colOff>868472</xdr:colOff>
      <xdr:row>25</xdr:row>
      <xdr:rowOff>138792</xdr:rowOff>
    </xdr:from>
    <xdr:to>
      <xdr:col>28</xdr:col>
      <xdr:colOff>302077</xdr:colOff>
      <xdr:row>33</xdr:row>
      <xdr:rowOff>3603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E4DEEA00-D1E1-4C9C-8631-6B102DE711DA}"/>
            </a:ext>
          </a:extLst>
        </xdr:cNvPr>
        <xdr:cNvGrpSpPr/>
      </xdr:nvGrpSpPr>
      <xdr:grpSpPr>
        <a:xfrm>
          <a:off x="22651733" y="7195575"/>
          <a:ext cx="2001214" cy="2705745"/>
          <a:chOff x="22977359" y="489857"/>
          <a:chExt cx="2005355" cy="2667882"/>
        </a:xfrm>
      </xdr:grpSpPr>
      <xdr:sp macro="" textlink="">
        <xdr:nvSpPr>
          <xdr:cNvPr id="7" name="Franja diagonal 6">
            <a:extLst>
              <a:ext uri="{FF2B5EF4-FFF2-40B4-BE49-F238E27FC236}">
                <a16:creationId xmlns:a16="http://schemas.microsoft.com/office/drawing/2014/main" id="{2FEFACD3-596C-47A3-8C48-0EDF1815A3C2}"/>
              </a:ext>
            </a:extLst>
          </xdr:cNvPr>
          <xdr:cNvSpPr/>
        </xdr:nvSpPr>
        <xdr:spPr>
          <a:xfrm rot="6986152">
            <a:off x="22984045" y="1699476"/>
            <a:ext cx="1451577" cy="1464950"/>
          </a:xfrm>
          <a:prstGeom prst="diagStripe">
            <a:avLst>
              <a:gd name="adj" fmla="val 48477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>
              <a:solidFill>
                <a:schemeClr val="tx1"/>
              </a:solidFill>
            </a:endParaRPr>
          </a:p>
        </xdr:txBody>
      </xdr: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64FD46C-5DD1-4EA7-9427-5810666DE433}"/>
              </a:ext>
            </a:extLst>
          </xdr:cNvPr>
          <xdr:cNvSpPr/>
        </xdr:nvSpPr>
        <xdr:spPr>
          <a:xfrm rot="1957269">
            <a:off x="24465642" y="489857"/>
            <a:ext cx="517072" cy="2517321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</xdr:grpSp>
    <xdr:clientData/>
  </xdr:twoCellAnchor>
  <xdr:twoCellAnchor>
    <xdr:from>
      <xdr:col>20</xdr:col>
      <xdr:colOff>295275</xdr:colOff>
      <xdr:row>41</xdr:row>
      <xdr:rowOff>142875</xdr:rowOff>
    </xdr:from>
    <xdr:to>
      <xdr:col>23</xdr:col>
      <xdr:colOff>228600</xdr:colOff>
      <xdr:row>43</xdr:row>
      <xdr:rowOff>200026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72BB89A7-7B7E-43C9-9AE6-3AF80E50FABA}"/>
            </a:ext>
          </a:extLst>
        </xdr:cNvPr>
        <xdr:cNvGrpSpPr/>
      </xdr:nvGrpSpPr>
      <xdr:grpSpPr>
        <a:xfrm>
          <a:off x="18169145" y="11887614"/>
          <a:ext cx="2641738" cy="653499"/>
          <a:chOff x="5942134" y="124559"/>
          <a:chExt cx="2140395" cy="504800"/>
        </a:xfrm>
      </xdr:grpSpPr>
      <xdr:sp macro="" textlink="" fLocksText="0">
        <xdr:nvSpPr>
          <xdr:cNvPr id="16" name="Boton_arriba">
            <a:extLst>
              <a:ext uri="{FF2B5EF4-FFF2-40B4-BE49-F238E27FC236}">
                <a16:creationId xmlns:a16="http://schemas.microsoft.com/office/drawing/2014/main" id="{C127E1B0-68E3-401E-8B03-017B38C10E4D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3C5A3C4E-04C2-4AC7-A2E6-EF230C465A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  <xdr:twoCellAnchor>
    <xdr:from>
      <xdr:col>20</xdr:col>
      <xdr:colOff>0</xdr:colOff>
      <xdr:row>1</xdr:row>
      <xdr:rowOff>0</xdr:rowOff>
    </xdr:from>
    <xdr:to>
      <xdr:col>22</xdr:col>
      <xdr:colOff>904875</xdr:colOff>
      <xdr:row>3</xdr:row>
      <xdr:rowOff>57151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65224E7E-FCE1-4F81-95A1-16F25427E6AA}"/>
            </a:ext>
          </a:extLst>
        </xdr:cNvPr>
        <xdr:cNvGrpSpPr/>
      </xdr:nvGrpSpPr>
      <xdr:grpSpPr>
        <a:xfrm>
          <a:off x="17873870" y="298174"/>
          <a:ext cx="2644222" cy="653499"/>
          <a:chOff x="5942134" y="124559"/>
          <a:chExt cx="2140395" cy="504800"/>
        </a:xfrm>
      </xdr:grpSpPr>
      <xdr:sp macro="" textlink="" fLocksText="0">
        <xdr:nvSpPr>
          <xdr:cNvPr id="19" name="Boton_arriba">
            <a:extLst>
              <a:ext uri="{FF2B5EF4-FFF2-40B4-BE49-F238E27FC236}">
                <a16:creationId xmlns:a16="http://schemas.microsoft.com/office/drawing/2014/main" id="{8D3473AA-1DAB-44F8-9ACA-508EC76CC6C4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8BC5C53C-A254-41B3-87F7-48CB57E6B5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  <xdr:twoCellAnchor>
    <xdr:from>
      <xdr:col>20</xdr:col>
      <xdr:colOff>114300</xdr:colOff>
      <xdr:row>20</xdr:row>
      <xdr:rowOff>123825</xdr:rowOff>
    </xdr:from>
    <xdr:to>
      <xdr:col>23</xdr:col>
      <xdr:colOff>47625</xdr:colOff>
      <xdr:row>22</xdr:row>
      <xdr:rowOff>180976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E88E8602-8E65-4CF9-9595-E437D1C69CF3}"/>
            </a:ext>
          </a:extLst>
        </xdr:cNvPr>
        <xdr:cNvGrpSpPr/>
      </xdr:nvGrpSpPr>
      <xdr:grpSpPr>
        <a:xfrm>
          <a:off x="17988170" y="5921651"/>
          <a:ext cx="2641738" cy="653499"/>
          <a:chOff x="5942134" y="124559"/>
          <a:chExt cx="2140395" cy="504800"/>
        </a:xfrm>
      </xdr:grpSpPr>
      <xdr:sp macro="" textlink="" fLocksText="0">
        <xdr:nvSpPr>
          <xdr:cNvPr id="22" name="Boton_arriba">
            <a:extLst>
              <a:ext uri="{FF2B5EF4-FFF2-40B4-BE49-F238E27FC236}">
                <a16:creationId xmlns:a16="http://schemas.microsoft.com/office/drawing/2014/main" id="{ED41AED8-165D-4C54-A9C2-07BD8BE7BA0A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23" name="Imagen 22">
            <a:extLst>
              <a:ext uri="{FF2B5EF4-FFF2-40B4-BE49-F238E27FC236}">
                <a16:creationId xmlns:a16="http://schemas.microsoft.com/office/drawing/2014/main" id="{24862CAF-DED5-4129-87D2-05E2FE0A4C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3619501</xdr:colOff>
      <xdr:row>0</xdr:row>
      <xdr:rowOff>47625</xdr:rowOff>
    </xdr:from>
    <xdr:to>
      <xdr:col>8</xdr:col>
      <xdr:colOff>323186</xdr:colOff>
      <xdr:row>1</xdr:row>
      <xdr:rowOff>2248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77A1CD-0EBF-423F-B0F7-8B1D2138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1" y="47625"/>
          <a:ext cx="2781300" cy="459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2069224</xdr:colOff>
      <xdr:row>5</xdr:row>
      <xdr:rowOff>124811</xdr:rowOff>
    </xdr:from>
    <xdr:to>
      <xdr:col>2</xdr:col>
      <xdr:colOff>4710962</xdr:colOff>
      <xdr:row>8</xdr:row>
      <xdr:rowOff>134551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15B1B74-1271-48E9-AE80-168C160284ED}"/>
            </a:ext>
          </a:extLst>
        </xdr:cNvPr>
        <xdr:cNvGrpSpPr/>
      </xdr:nvGrpSpPr>
      <xdr:grpSpPr>
        <a:xfrm>
          <a:off x="2699845" y="1458311"/>
          <a:ext cx="2641738" cy="653499"/>
          <a:chOff x="5942134" y="124559"/>
          <a:chExt cx="2140395" cy="504800"/>
        </a:xfrm>
      </xdr:grpSpPr>
      <xdr:sp macro="" textlink="" fLocksText="0">
        <xdr:nvSpPr>
          <xdr:cNvPr id="11" name="Boton_arriba">
            <a:extLst>
              <a:ext uri="{FF2B5EF4-FFF2-40B4-BE49-F238E27FC236}">
                <a16:creationId xmlns:a16="http://schemas.microsoft.com/office/drawing/2014/main" id="{BB658658-75B4-44CA-AA2E-FC0F1CDC4EAE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A4A78CE0-A9E8-4742-825E-BFECE845EB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12</xdr:row>
      <xdr:rowOff>95251</xdr:rowOff>
    </xdr:from>
    <xdr:to>
      <xdr:col>9</xdr:col>
      <xdr:colOff>209549</xdr:colOff>
      <xdr:row>17</xdr:row>
      <xdr:rowOff>161925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id="{65CF02D1-EE06-412A-9631-2CF3083D05C1}"/>
            </a:ext>
          </a:extLst>
        </xdr:cNvPr>
        <xdr:cNvSpPr/>
      </xdr:nvSpPr>
      <xdr:spPr>
        <a:xfrm>
          <a:off x="581024" y="2438401"/>
          <a:ext cx="6486525" cy="10477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0</xdr:col>
      <xdr:colOff>590550</xdr:colOff>
      <xdr:row>3</xdr:row>
      <xdr:rowOff>57150</xdr:rowOff>
    </xdr:from>
    <xdr:to>
      <xdr:col>4</xdr:col>
      <xdr:colOff>723900</xdr:colOff>
      <xdr:row>17</xdr:row>
      <xdr:rowOff>161925</xdr:rowOff>
    </xdr:to>
    <xdr:sp macro="" textlink="">
      <xdr:nvSpPr>
        <xdr:cNvPr id="20" name="Rectángulo: esquinas redondeadas 19">
          <a:extLst>
            <a:ext uri="{FF2B5EF4-FFF2-40B4-BE49-F238E27FC236}">
              <a16:creationId xmlns:a16="http://schemas.microsoft.com/office/drawing/2014/main" id="{6C91D248-9EBA-42DE-B142-077CDE3EBB8E}"/>
            </a:ext>
          </a:extLst>
        </xdr:cNvPr>
        <xdr:cNvSpPr/>
      </xdr:nvSpPr>
      <xdr:spPr>
        <a:xfrm>
          <a:off x="590550" y="685800"/>
          <a:ext cx="3181350" cy="28003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0</xdr:col>
      <xdr:colOff>733425</xdr:colOff>
      <xdr:row>4</xdr:row>
      <xdr:rowOff>47625</xdr:rowOff>
    </xdr:from>
    <xdr:to>
      <xdr:col>2</xdr:col>
      <xdr:colOff>581025</xdr:colOff>
      <xdr:row>7</xdr:row>
      <xdr:rowOff>180975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170E2D64-7E0A-45C2-9FF2-C13766EF6235}"/>
            </a:ext>
          </a:extLst>
        </xdr:cNvPr>
        <xdr:cNvSpPr/>
      </xdr:nvSpPr>
      <xdr:spPr>
        <a:xfrm>
          <a:off x="1495425" y="809625"/>
          <a:ext cx="1371600" cy="704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600" b="1">
              <a:solidFill>
                <a:srgbClr val="FFFF00"/>
              </a:solidFill>
            </a:rPr>
            <a:t>F</a:t>
          </a:r>
          <a:r>
            <a:rPr lang="es-BO" sz="1600" b="1" baseline="0">
              <a:solidFill>
                <a:srgbClr val="FFFF00"/>
              </a:solidFill>
            </a:rPr>
            <a:t> - 110</a:t>
          </a:r>
        </a:p>
        <a:p>
          <a:pPr algn="l"/>
          <a:r>
            <a:rPr lang="es-BO" sz="1600" b="1" baseline="0">
              <a:solidFill>
                <a:srgbClr val="FFFF00"/>
              </a:solidFill>
            </a:rPr>
            <a:t>20/4/20</a:t>
          </a:r>
          <a:endParaRPr lang="es-BO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3</xdr:col>
      <xdr:colOff>0</xdr:colOff>
      <xdr:row>4</xdr:row>
      <xdr:rowOff>38100</xdr:rowOff>
    </xdr:from>
    <xdr:to>
      <xdr:col>4</xdr:col>
      <xdr:colOff>609600</xdr:colOff>
      <xdr:row>7</xdr:row>
      <xdr:rowOff>171450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BFFC793F-81BB-49DE-A1DA-FE1B9CD4B229}"/>
            </a:ext>
          </a:extLst>
        </xdr:cNvPr>
        <xdr:cNvSpPr/>
      </xdr:nvSpPr>
      <xdr:spPr>
        <a:xfrm>
          <a:off x="3048000" y="800100"/>
          <a:ext cx="1371600" cy="704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600" b="1">
              <a:solidFill>
                <a:srgbClr val="FFFF00"/>
              </a:solidFill>
            </a:rPr>
            <a:t>PLLA</a:t>
          </a:r>
          <a:r>
            <a:rPr lang="es-BO" sz="1600" b="1" baseline="0">
              <a:solidFill>
                <a:srgbClr val="FFFF00"/>
              </a:solidFill>
            </a:rPr>
            <a:t> TRIB V2</a:t>
          </a:r>
        </a:p>
        <a:p>
          <a:pPr algn="l"/>
          <a:r>
            <a:rPr lang="es-BO" sz="1600" b="1" baseline="0">
              <a:solidFill>
                <a:srgbClr val="FFFF00"/>
              </a:solidFill>
            </a:rPr>
            <a:t>DE: ABR/20</a:t>
          </a:r>
          <a:endParaRPr lang="es-BO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723900</xdr:colOff>
      <xdr:row>8</xdr:row>
      <xdr:rowOff>123825</xdr:rowOff>
    </xdr:from>
    <xdr:to>
      <xdr:col>2</xdr:col>
      <xdr:colOff>571500</xdr:colOff>
      <xdr:row>12</xdr:row>
      <xdr:rowOff>66675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6D6FD9FD-D075-4A4A-9E3D-FA9409C4D612}"/>
            </a:ext>
          </a:extLst>
        </xdr:cNvPr>
        <xdr:cNvSpPr/>
      </xdr:nvSpPr>
      <xdr:spPr>
        <a:xfrm>
          <a:off x="723900" y="1647825"/>
          <a:ext cx="1371600" cy="704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600" b="1">
              <a:solidFill>
                <a:srgbClr val="FFFF00"/>
              </a:solidFill>
            </a:rPr>
            <a:t>F</a:t>
          </a:r>
          <a:r>
            <a:rPr lang="es-BO" sz="1600" b="1" baseline="0">
              <a:solidFill>
                <a:srgbClr val="FFFF00"/>
              </a:solidFill>
            </a:rPr>
            <a:t> - 110</a:t>
          </a:r>
        </a:p>
        <a:p>
          <a:pPr algn="l"/>
          <a:r>
            <a:rPr lang="es-BO" sz="1600" b="1" baseline="0">
              <a:solidFill>
                <a:srgbClr val="FFFF00"/>
              </a:solidFill>
            </a:rPr>
            <a:t>20/5/20</a:t>
          </a:r>
          <a:endParaRPr lang="es-BO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3</xdr:col>
      <xdr:colOff>0</xdr:colOff>
      <xdr:row>8</xdr:row>
      <xdr:rowOff>142875</xdr:rowOff>
    </xdr:from>
    <xdr:to>
      <xdr:col>4</xdr:col>
      <xdr:colOff>609600</xdr:colOff>
      <xdr:row>12</xdr:row>
      <xdr:rowOff>85725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77AA35BD-548D-46CD-A72C-CE2F3F11D9FE}"/>
            </a:ext>
          </a:extLst>
        </xdr:cNvPr>
        <xdr:cNvSpPr/>
      </xdr:nvSpPr>
      <xdr:spPr>
        <a:xfrm>
          <a:off x="2286000" y="1666875"/>
          <a:ext cx="1371600" cy="704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600" b="1">
              <a:solidFill>
                <a:srgbClr val="FFFF00"/>
              </a:solidFill>
            </a:rPr>
            <a:t>PLLA</a:t>
          </a:r>
          <a:r>
            <a:rPr lang="es-BO" sz="1600" b="1" baseline="0">
              <a:solidFill>
                <a:srgbClr val="FFFF00"/>
              </a:solidFill>
            </a:rPr>
            <a:t> TRIB V2</a:t>
          </a:r>
        </a:p>
        <a:p>
          <a:pPr algn="l"/>
          <a:r>
            <a:rPr lang="es-BO" sz="1600" b="1" baseline="0">
              <a:solidFill>
                <a:srgbClr val="FFFF00"/>
              </a:solidFill>
            </a:rPr>
            <a:t>DE: MAY/20</a:t>
          </a:r>
          <a:endParaRPr lang="es-BO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723900</xdr:colOff>
      <xdr:row>13</xdr:row>
      <xdr:rowOff>85725</xdr:rowOff>
    </xdr:from>
    <xdr:to>
      <xdr:col>2</xdr:col>
      <xdr:colOff>571500</xdr:colOff>
      <xdr:row>17</xdr:row>
      <xdr:rowOff>28575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267F66B0-5E60-4568-A6ED-7851D7F02CB0}"/>
            </a:ext>
          </a:extLst>
        </xdr:cNvPr>
        <xdr:cNvSpPr/>
      </xdr:nvSpPr>
      <xdr:spPr>
        <a:xfrm>
          <a:off x="723900" y="2562225"/>
          <a:ext cx="1371600" cy="704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600" b="1">
              <a:solidFill>
                <a:srgbClr val="FFFF00"/>
              </a:solidFill>
            </a:rPr>
            <a:t>F</a:t>
          </a:r>
          <a:r>
            <a:rPr lang="es-BO" sz="1600" b="1" baseline="0">
              <a:solidFill>
                <a:srgbClr val="FFFF00"/>
              </a:solidFill>
            </a:rPr>
            <a:t> - 110</a:t>
          </a:r>
        </a:p>
        <a:p>
          <a:pPr algn="l"/>
          <a:r>
            <a:rPr lang="es-BO" sz="1600" b="1" baseline="0">
              <a:solidFill>
                <a:srgbClr val="FFFF00"/>
              </a:solidFill>
            </a:rPr>
            <a:t>20/6/20</a:t>
          </a:r>
          <a:endParaRPr lang="es-BO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752475</xdr:colOff>
      <xdr:row>13</xdr:row>
      <xdr:rowOff>76200</xdr:rowOff>
    </xdr:from>
    <xdr:to>
      <xdr:col>4</xdr:col>
      <xdr:colOff>600075</xdr:colOff>
      <xdr:row>17</xdr:row>
      <xdr:rowOff>19050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7AA2B1F4-693C-44D4-B918-11AF696A73E6}"/>
            </a:ext>
          </a:extLst>
        </xdr:cNvPr>
        <xdr:cNvSpPr/>
      </xdr:nvSpPr>
      <xdr:spPr>
        <a:xfrm>
          <a:off x="2276475" y="2552700"/>
          <a:ext cx="1371600" cy="704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BO" sz="1600" b="1">
              <a:solidFill>
                <a:srgbClr val="FFFF00"/>
              </a:solidFill>
            </a:rPr>
            <a:t>PLLA</a:t>
          </a:r>
          <a:r>
            <a:rPr lang="es-BO" sz="1600" b="1" baseline="0">
              <a:solidFill>
                <a:srgbClr val="FFFF00"/>
              </a:solidFill>
            </a:rPr>
            <a:t> TRIB V2</a:t>
          </a:r>
        </a:p>
        <a:p>
          <a:pPr algn="l"/>
          <a:r>
            <a:rPr lang="es-BO" sz="1600" b="1" baseline="0">
              <a:solidFill>
                <a:srgbClr val="FFFF00"/>
              </a:solidFill>
            </a:rPr>
            <a:t>DE: JUN/20</a:t>
          </a:r>
          <a:endParaRPr lang="es-BO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114299</xdr:colOff>
      <xdr:row>4</xdr:row>
      <xdr:rowOff>57149</xdr:rowOff>
    </xdr:from>
    <xdr:to>
      <xdr:col>7</xdr:col>
      <xdr:colOff>28574</xdr:colOff>
      <xdr:row>7</xdr:row>
      <xdr:rowOff>104774</xdr:rowOff>
    </xdr:to>
    <xdr:sp macro="" textlink="">
      <xdr:nvSpPr>
        <xdr:cNvPr id="14" name="Rectángulo: esquinas diagonales redondeadas 13">
          <a:extLst>
            <a:ext uri="{FF2B5EF4-FFF2-40B4-BE49-F238E27FC236}">
              <a16:creationId xmlns:a16="http://schemas.microsoft.com/office/drawing/2014/main" id="{60D268D4-E252-48C0-898D-77F261C26C90}"/>
            </a:ext>
          </a:extLst>
        </xdr:cNvPr>
        <xdr:cNvSpPr/>
      </xdr:nvSpPr>
      <xdr:spPr>
        <a:xfrm>
          <a:off x="3924299" y="819149"/>
          <a:ext cx="1438275" cy="619125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BO" sz="1100" b="1">
            <a:solidFill>
              <a:srgbClr val="FFFF00"/>
            </a:solidFill>
          </a:endParaRPr>
        </a:p>
        <a:p>
          <a:pPr algn="ctr"/>
          <a:r>
            <a:rPr lang="es-BO" sz="1100" b="1">
              <a:solidFill>
                <a:srgbClr val="FFFF00"/>
              </a:solidFill>
            </a:rPr>
            <a:t>ABRIL -2020</a:t>
          </a:r>
        </a:p>
      </xdr:txBody>
    </xdr:sp>
    <xdr:clientData/>
  </xdr:twoCellAnchor>
  <xdr:twoCellAnchor>
    <xdr:from>
      <xdr:col>5</xdr:col>
      <xdr:colOff>123824</xdr:colOff>
      <xdr:row>8</xdr:row>
      <xdr:rowOff>123824</xdr:rowOff>
    </xdr:from>
    <xdr:to>
      <xdr:col>7</xdr:col>
      <xdr:colOff>38099</xdr:colOff>
      <xdr:row>11</xdr:row>
      <xdr:rowOff>171449</xdr:rowOff>
    </xdr:to>
    <xdr:sp macro="" textlink="">
      <xdr:nvSpPr>
        <xdr:cNvPr id="15" name="Rectángulo: esquinas diagonales redondeadas 14">
          <a:extLst>
            <a:ext uri="{FF2B5EF4-FFF2-40B4-BE49-F238E27FC236}">
              <a16:creationId xmlns:a16="http://schemas.microsoft.com/office/drawing/2014/main" id="{0A9553CA-7B9B-4783-8F0A-5371C502EF07}"/>
            </a:ext>
          </a:extLst>
        </xdr:cNvPr>
        <xdr:cNvSpPr/>
      </xdr:nvSpPr>
      <xdr:spPr>
        <a:xfrm>
          <a:off x="3933824" y="1695449"/>
          <a:ext cx="1438275" cy="619125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BO" sz="1100" b="1">
            <a:solidFill>
              <a:srgbClr val="FFFF00"/>
            </a:solidFill>
          </a:endParaRPr>
        </a:p>
        <a:p>
          <a:pPr algn="ctr"/>
          <a:r>
            <a:rPr lang="es-BO" sz="1100" b="1">
              <a:solidFill>
                <a:srgbClr val="FFFF00"/>
              </a:solidFill>
            </a:rPr>
            <a:t>MAYO -2020</a:t>
          </a:r>
        </a:p>
      </xdr:txBody>
    </xdr:sp>
    <xdr:clientData/>
  </xdr:twoCellAnchor>
  <xdr:twoCellAnchor>
    <xdr:from>
      <xdr:col>5</xdr:col>
      <xdr:colOff>133349</xdr:colOff>
      <xdr:row>13</xdr:row>
      <xdr:rowOff>76199</xdr:rowOff>
    </xdr:from>
    <xdr:to>
      <xdr:col>7</xdr:col>
      <xdr:colOff>47624</xdr:colOff>
      <xdr:row>16</xdr:row>
      <xdr:rowOff>123824</xdr:rowOff>
    </xdr:to>
    <xdr:sp macro="" textlink="">
      <xdr:nvSpPr>
        <xdr:cNvPr id="16" name="Rectángulo: esquinas diagonales redondeadas 15">
          <a:extLst>
            <a:ext uri="{FF2B5EF4-FFF2-40B4-BE49-F238E27FC236}">
              <a16:creationId xmlns:a16="http://schemas.microsoft.com/office/drawing/2014/main" id="{0E181D8A-EB7D-4CBE-BBB2-8FFD656B0A17}"/>
            </a:ext>
          </a:extLst>
        </xdr:cNvPr>
        <xdr:cNvSpPr/>
      </xdr:nvSpPr>
      <xdr:spPr>
        <a:xfrm>
          <a:off x="3943349" y="2600324"/>
          <a:ext cx="1438275" cy="619125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BO" sz="1100" b="1">
            <a:solidFill>
              <a:srgbClr val="FFFF00"/>
            </a:solidFill>
          </a:endParaRPr>
        </a:p>
        <a:p>
          <a:pPr algn="ctr"/>
          <a:r>
            <a:rPr lang="es-BO" sz="1100" b="1">
              <a:solidFill>
                <a:srgbClr val="FFFF00"/>
              </a:solidFill>
            </a:rPr>
            <a:t>JUNIO -2020</a:t>
          </a:r>
        </a:p>
      </xdr:txBody>
    </xdr:sp>
    <xdr:clientData/>
  </xdr:twoCellAnchor>
  <xdr:twoCellAnchor>
    <xdr:from>
      <xdr:col>7</xdr:col>
      <xdr:colOff>400050</xdr:colOff>
      <xdr:row>4</xdr:row>
      <xdr:rowOff>76200</xdr:rowOff>
    </xdr:from>
    <xdr:to>
      <xdr:col>8</xdr:col>
      <xdr:colOff>685800</xdr:colOff>
      <xdr:row>7</xdr:row>
      <xdr:rowOff>57150</xdr:rowOff>
    </xdr:to>
    <xdr:sp macro="" textlink="">
      <xdr:nvSpPr>
        <xdr:cNvPr id="17" name="Rectángulo: una sola esquina cortada 16">
          <a:extLst>
            <a:ext uri="{FF2B5EF4-FFF2-40B4-BE49-F238E27FC236}">
              <a16:creationId xmlns:a16="http://schemas.microsoft.com/office/drawing/2014/main" id="{9AF5512E-1364-499D-9735-AE69483A90A5}"/>
            </a:ext>
          </a:extLst>
        </xdr:cNvPr>
        <xdr:cNvSpPr/>
      </xdr:nvSpPr>
      <xdr:spPr>
        <a:xfrm>
          <a:off x="5734050" y="885825"/>
          <a:ext cx="1047750" cy="552450"/>
        </a:xfrm>
        <a:prstGeom prst="snip1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BO" sz="1400" b="1">
              <a:solidFill>
                <a:srgbClr val="FF0000"/>
              </a:solidFill>
            </a:rPr>
            <a:t>F-608 V3</a:t>
          </a:r>
        </a:p>
      </xdr:txBody>
    </xdr:sp>
    <xdr:clientData/>
  </xdr:twoCellAnchor>
  <xdr:twoCellAnchor>
    <xdr:from>
      <xdr:col>7</xdr:col>
      <xdr:colOff>428625</xdr:colOff>
      <xdr:row>8</xdr:row>
      <xdr:rowOff>133350</xdr:rowOff>
    </xdr:from>
    <xdr:to>
      <xdr:col>8</xdr:col>
      <xdr:colOff>714375</xdr:colOff>
      <xdr:row>11</xdr:row>
      <xdr:rowOff>114300</xdr:rowOff>
    </xdr:to>
    <xdr:sp macro="" textlink="">
      <xdr:nvSpPr>
        <xdr:cNvPr id="18" name="Rectángulo: una sola esquina cortada 17">
          <a:extLst>
            <a:ext uri="{FF2B5EF4-FFF2-40B4-BE49-F238E27FC236}">
              <a16:creationId xmlns:a16="http://schemas.microsoft.com/office/drawing/2014/main" id="{73E0DB13-64F4-455B-A689-34E432C970E4}"/>
            </a:ext>
          </a:extLst>
        </xdr:cNvPr>
        <xdr:cNvSpPr/>
      </xdr:nvSpPr>
      <xdr:spPr>
        <a:xfrm>
          <a:off x="5762625" y="1704975"/>
          <a:ext cx="1047750" cy="552450"/>
        </a:xfrm>
        <a:prstGeom prst="snip1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BO" sz="1400" b="1">
              <a:solidFill>
                <a:srgbClr val="FF0000"/>
              </a:solidFill>
            </a:rPr>
            <a:t>F-608 V3</a:t>
          </a:r>
        </a:p>
      </xdr:txBody>
    </xdr:sp>
    <xdr:clientData/>
  </xdr:twoCellAnchor>
  <xdr:twoCellAnchor>
    <xdr:from>
      <xdr:col>7</xdr:col>
      <xdr:colOff>447675</xdr:colOff>
      <xdr:row>13</xdr:row>
      <xdr:rowOff>95250</xdr:rowOff>
    </xdr:from>
    <xdr:to>
      <xdr:col>8</xdr:col>
      <xdr:colOff>733425</xdr:colOff>
      <xdr:row>16</xdr:row>
      <xdr:rowOff>76200</xdr:rowOff>
    </xdr:to>
    <xdr:sp macro="" textlink="">
      <xdr:nvSpPr>
        <xdr:cNvPr id="19" name="Rectángulo: una sola esquina cortada 18">
          <a:extLst>
            <a:ext uri="{FF2B5EF4-FFF2-40B4-BE49-F238E27FC236}">
              <a16:creationId xmlns:a16="http://schemas.microsoft.com/office/drawing/2014/main" id="{4262ECC3-935C-42F3-8D62-7359D916065F}"/>
            </a:ext>
          </a:extLst>
        </xdr:cNvPr>
        <xdr:cNvSpPr/>
      </xdr:nvSpPr>
      <xdr:spPr>
        <a:xfrm>
          <a:off x="5781675" y="2619375"/>
          <a:ext cx="1047750" cy="552450"/>
        </a:xfrm>
        <a:prstGeom prst="snip1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BO" sz="1400" b="1">
              <a:solidFill>
                <a:srgbClr val="FF0000"/>
              </a:solidFill>
            </a:rPr>
            <a:t>F-608 V3</a:t>
          </a:r>
        </a:p>
      </xdr:txBody>
    </xdr:sp>
    <xdr:clientData/>
  </xdr:twoCellAnchor>
  <xdr:twoCellAnchor>
    <xdr:from>
      <xdr:col>9</xdr:col>
      <xdr:colOff>89038</xdr:colOff>
      <xdr:row>4</xdr:row>
      <xdr:rowOff>64190</xdr:rowOff>
    </xdr:from>
    <xdr:to>
      <xdr:col>10</xdr:col>
      <xdr:colOff>374788</xdr:colOff>
      <xdr:row>7</xdr:row>
      <xdr:rowOff>64190</xdr:rowOff>
    </xdr:to>
    <xdr:sp macro="" textlink="">
      <xdr:nvSpPr>
        <xdr:cNvPr id="22" name="Rectángulo: una sola esquina cortada 21">
          <a:extLst>
            <a:ext uri="{FF2B5EF4-FFF2-40B4-BE49-F238E27FC236}">
              <a16:creationId xmlns:a16="http://schemas.microsoft.com/office/drawing/2014/main" id="{52A4ED5F-ADD2-4229-9744-8EC8600537E8}"/>
            </a:ext>
          </a:extLst>
        </xdr:cNvPr>
        <xdr:cNvSpPr/>
      </xdr:nvSpPr>
      <xdr:spPr>
        <a:xfrm>
          <a:off x="6947038" y="933864"/>
          <a:ext cx="1047750" cy="571500"/>
        </a:xfrm>
        <a:prstGeom prst="snip1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BO" sz="1200" b="1">
              <a:solidFill>
                <a:srgbClr val="FF0000"/>
              </a:solidFill>
            </a:rPr>
            <a:t>F-608 V3 RECTIF.</a:t>
          </a:r>
        </a:p>
      </xdr:txBody>
    </xdr:sp>
    <xdr:clientData/>
  </xdr:twoCellAnchor>
  <xdr:twoCellAnchor>
    <xdr:from>
      <xdr:col>9</xdr:col>
      <xdr:colOff>109331</xdr:colOff>
      <xdr:row>8</xdr:row>
      <xdr:rowOff>132107</xdr:rowOff>
    </xdr:from>
    <xdr:to>
      <xdr:col>10</xdr:col>
      <xdr:colOff>395081</xdr:colOff>
      <xdr:row>11</xdr:row>
      <xdr:rowOff>113057</xdr:rowOff>
    </xdr:to>
    <xdr:sp macro="" textlink="">
      <xdr:nvSpPr>
        <xdr:cNvPr id="23" name="Rectángulo: una sola esquina cortada 22">
          <a:extLst>
            <a:ext uri="{FF2B5EF4-FFF2-40B4-BE49-F238E27FC236}">
              <a16:creationId xmlns:a16="http://schemas.microsoft.com/office/drawing/2014/main" id="{6B458375-C962-4DF9-A537-597B81E850ED}"/>
            </a:ext>
          </a:extLst>
        </xdr:cNvPr>
        <xdr:cNvSpPr/>
      </xdr:nvSpPr>
      <xdr:spPr>
        <a:xfrm>
          <a:off x="6967331" y="1763781"/>
          <a:ext cx="1047750" cy="552450"/>
        </a:xfrm>
        <a:prstGeom prst="snip1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BO" sz="1200" b="1">
              <a:solidFill>
                <a:srgbClr val="FF0000"/>
              </a:solidFill>
            </a:rPr>
            <a:t>F-608 V3 </a:t>
          </a:r>
          <a:r>
            <a:rPr lang="es-BO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RECTIF.</a:t>
          </a:r>
          <a:endParaRPr lang="es-BO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328613</xdr:colOff>
      <xdr:row>12</xdr:row>
      <xdr:rowOff>128589</xdr:rowOff>
    </xdr:from>
    <xdr:to>
      <xdr:col>9</xdr:col>
      <xdr:colOff>690563</xdr:colOff>
      <xdr:row>17</xdr:row>
      <xdr:rowOff>80964</xdr:rowOff>
    </xdr:to>
    <xdr:sp macro="" textlink="">
      <xdr:nvSpPr>
        <xdr:cNvPr id="24" name="Triángulo isósceles 23">
          <a:extLst>
            <a:ext uri="{FF2B5EF4-FFF2-40B4-BE49-F238E27FC236}">
              <a16:creationId xmlns:a16="http://schemas.microsoft.com/office/drawing/2014/main" id="{CEABEB1C-CAA8-4143-B6BB-32C701A5C06F}"/>
            </a:ext>
          </a:extLst>
        </xdr:cNvPr>
        <xdr:cNvSpPr/>
      </xdr:nvSpPr>
      <xdr:spPr>
        <a:xfrm rot="5400000">
          <a:off x="6896100" y="2762252"/>
          <a:ext cx="942975" cy="361950"/>
        </a:xfrm>
        <a:prstGeom prst="triangl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 editAs="oneCell">
    <xdr:from>
      <xdr:col>7</xdr:col>
      <xdr:colOff>185483</xdr:colOff>
      <xdr:row>49</xdr:row>
      <xdr:rowOff>0</xdr:rowOff>
    </xdr:from>
    <xdr:to>
      <xdr:col>7</xdr:col>
      <xdr:colOff>579782</xdr:colOff>
      <xdr:row>50</xdr:row>
      <xdr:rowOff>176838</xdr:rowOff>
    </xdr:to>
    <xdr:pic>
      <xdr:nvPicPr>
        <xdr:cNvPr id="31" name="Marcador de posición de imagen 5" descr="signo de advertencia - Buscar con Google">
          <a:extLst>
            <a:ext uri="{FF2B5EF4-FFF2-40B4-BE49-F238E27FC236}">
              <a16:creationId xmlns:a16="http://schemas.microsoft.com/office/drawing/2014/main" id="{DD4E8523-0DC1-44F8-9307-FD322157BB86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19483" y="9483587"/>
          <a:ext cx="394299" cy="367338"/>
        </a:xfrm>
        <a:prstGeom prst="rect">
          <a:avLst/>
        </a:prstGeom>
      </xdr:spPr>
    </xdr:pic>
    <xdr:clientData/>
  </xdr:twoCellAnchor>
  <xdr:twoCellAnchor>
    <xdr:from>
      <xdr:col>10</xdr:col>
      <xdr:colOff>472108</xdr:colOff>
      <xdr:row>2</xdr:row>
      <xdr:rowOff>24848</xdr:rowOff>
    </xdr:from>
    <xdr:to>
      <xdr:col>13</xdr:col>
      <xdr:colOff>380585</xdr:colOff>
      <xdr:row>5</xdr:row>
      <xdr:rowOff>57151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61598D72-E308-4ECD-9BA8-F5E884817E19}"/>
            </a:ext>
          </a:extLst>
        </xdr:cNvPr>
        <xdr:cNvGrpSpPr/>
      </xdr:nvGrpSpPr>
      <xdr:grpSpPr>
        <a:xfrm>
          <a:off x="8092108" y="463826"/>
          <a:ext cx="2641738" cy="653499"/>
          <a:chOff x="5942134" y="124559"/>
          <a:chExt cx="2140395" cy="504800"/>
        </a:xfrm>
      </xdr:grpSpPr>
      <xdr:sp macro="" textlink="" fLocksText="0">
        <xdr:nvSpPr>
          <xdr:cNvPr id="33" name="Boton_arriba">
            <a:extLst>
              <a:ext uri="{FF2B5EF4-FFF2-40B4-BE49-F238E27FC236}">
                <a16:creationId xmlns:a16="http://schemas.microsoft.com/office/drawing/2014/main" id="{BC47E800-203F-4A6D-A357-348E9F9F3AFF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SpPr/>
        </xdr:nvSpPr>
        <xdr:spPr>
          <a:xfrm>
            <a:off x="5942134" y="124559"/>
            <a:ext cx="2140395" cy="504800"/>
          </a:xfrm>
          <a:prstGeom prst="round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MSC. FREDDY LEDEZMA ZEBALLOS</a:t>
            </a:r>
          </a:p>
          <a:p>
            <a:pPr algn="l"/>
            <a:r>
              <a:rPr lang="es-BO" sz="900" b="0" i="1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AUDITOR - ESPECIALISTA TRIBUTARIO </a:t>
            </a:r>
            <a:endParaRPr lang="es-BO" sz="900" i="1"/>
          </a:p>
          <a:p>
            <a:pPr algn="l"/>
            <a:r>
              <a:rPr lang="es-BO" sz="900" i="1"/>
              <a:t>CEL. 72109169</a:t>
            </a:r>
          </a:p>
        </xdr:txBody>
      </xdr:sp>
      <xdr:pic>
        <xdr:nvPicPr>
          <xdr:cNvPr id="34" name="Imagen 33">
            <a:extLst>
              <a:ext uri="{FF2B5EF4-FFF2-40B4-BE49-F238E27FC236}">
                <a16:creationId xmlns:a16="http://schemas.microsoft.com/office/drawing/2014/main" id="{FD06003F-129F-4D88-9895-A3F12DA600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87149" y="253107"/>
            <a:ext cx="407914" cy="318983"/>
          </a:xfrm>
          <a:prstGeom prst="rect">
            <a:avLst/>
          </a:prstGeom>
          <a:solidFill>
            <a:schemeClr val="tx1">
              <a:lumMod val="65000"/>
              <a:lumOff val="35000"/>
              <a:alpha val="90000"/>
            </a:schemeClr>
          </a:solidFill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ERBIGER/Freddy%20Le/dropbox/CONTABILIDAD/PLANILLAS%20SUELDOS/2019/PLANILLA%20SUELDOS%20ENE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ERBIGER/Freddy%20Le/dropbox/CONTABILIDAD/PLANILLAS%20SUELDOS/2019/1%20ENE-19/PLANILLA%20SUELDOS%20ENE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Gral"/>
      <sheetName val="Plla Retro"/>
      <sheetName val="SAP"/>
      <sheetName val="Plla Reg"/>
      <sheetName val="RC IVA"/>
      <sheetName val="Plla Banco"/>
      <sheetName val="CPS"/>
      <sheetName val="AFP Futuro"/>
      <sheetName val="AFP Prevision"/>
      <sheetName val="Soporte Cargas Soc"/>
      <sheetName val="Papeletas"/>
      <sheetName val="FACILITO"/>
      <sheetName val="OTROS DSCTOS"/>
      <sheetName val="AFP Futuro (2)"/>
      <sheetName val="AFP Prevision (2)"/>
      <sheetName val="AFP-FUT-SIP"/>
      <sheetName val="AFP-FUT-S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Gral"/>
      <sheetName val="Plla Retro"/>
      <sheetName val="SAP"/>
      <sheetName val="Plla Reg"/>
      <sheetName val="RC IVA"/>
      <sheetName val="Plla Banco"/>
      <sheetName val="CPS"/>
      <sheetName val="AFP Futuro"/>
      <sheetName val="AFP Prevision"/>
      <sheetName val="Soporte Cargas Soc"/>
      <sheetName val="Papeletas"/>
      <sheetName val="FACILITO"/>
      <sheetName val="OTROS DSCTOS"/>
      <sheetName val="AFP Futuro (2)"/>
      <sheetName val="AFP Prevision (2)"/>
      <sheetName val="AFP-FUT-SIP"/>
      <sheetName val="AFP-FUT-SOL"/>
    </sheetNames>
    <sheetDataSet>
      <sheetData sheetId="0"/>
      <sheetData sheetId="1"/>
      <sheetData sheetId="2"/>
      <sheetData sheetId="3"/>
      <sheetData sheetId="4"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ldeber.com.bo/176359_central-obrera-analiza-propuesta-para-diferir-rc-iva-pero-no-incluye-el-credito-fiscal" TargetMode="External"/><Relationship Id="rId1" Type="http://schemas.openxmlformats.org/officeDocument/2006/relationships/hyperlink" Target="https://eldeber.com.bo/176095_trabajadores-dependientes-pueden-presentar-el-formulario-110-del-rc-iva-hasta-el-20-de-junio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752C-2A93-4856-B09A-2D74A133FE42}">
  <dimension ref="B2:H16"/>
  <sheetViews>
    <sheetView showGridLines="0" showRowColHeaders="0" zoomScale="130" zoomScaleNormal="130" workbookViewId="0">
      <selection activeCell="J21" sqref="J21"/>
    </sheetView>
  </sheetViews>
  <sheetFormatPr baseColWidth="10" defaultRowHeight="15" x14ac:dyDescent="0.25"/>
  <cols>
    <col min="1" max="16384" width="11.42578125" style="234"/>
  </cols>
  <sheetData>
    <row r="2" spans="2:8" ht="30.75" x14ac:dyDescent="0.25">
      <c r="B2" s="236"/>
    </row>
    <row r="3" spans="2:8" ht="30.75" x14ac:dyDescent="0.25">
      <c r="B3" s="236"/>
    </row>
    <row r="11" spans="2:8" x14ac:dyDescent="0.25">
      <c r="B11" s="235"/>
      <c r="C11" s="235"/>
      <c r="D11" s="235"/>
      <c r="E11" s="235"/>
      <c r="F11" s="235"/>
      <c r="G11" s="235"/>
      <c r="H11" s="235"/>
    </row>
    <row r="12" spans="2:8" x14ac:dyDescent="0.25">
      <c r="B12" s="235"/>
      <c r="C12" s="235"/>
      <c r="D12" s="235"/>
      <c r="E12" s="235"/>
      <c r="F12" s="235"/>
      <c r="G12" s="235"/>
      <c r="H12" s="235"/>
    </row>
    <row r="13" spans="2:8" x14ac:dyDescent="0.25">
      <c r="B13" s="235"/>
      <c r="C13" s="235"/>
      <c r="D13" s="235"/>
      <c r="E13" s="235"/>
      <c r="F13" s="235"/>
      <c r="G13" s="235"/>
      <c r="H13" s="235"/>
    </row>
    <row r="14" spans="2:8" x14ac:dyDescent="0.25">
      <c r="B14" s="235"/>
      <c r="C14" s="235"/>
      <c r="D14" s="235"/>
      <c r="E14" s="235"/>
      <c r="F14" s="235"/>
      <c r="G14" s="235"/>
      <c r="H14" s="235"/>
    </row>
    <row r="15" spans="2:8" x14ac:dyDescent="0.25">
      <c r="B15" s="235"/>
      <c r="C15" s="235"/>
      <c r="D15" s="235"/>
      <c r="E15" s="235"/>
      <c r="F15" s="235"/>
      <c r="G15" s="235"/>
      <c r="H15" s="235"/>
    </row>
    <row r="16" spans="2:8" x14ac:dyDescent="0.25">
      <c r="B16" s="235"/>
      <c r="C16" s="235"/>
      <c r="D16" s="235"/>
      <c r="E16" s="235"/>
      <c r="F16" s="235"/>
      <c r="G16" s="235"/>
      <c r="H16" s="23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0A015-3143-4AAF-9508-1C8B2D209057}">
  <dimension ref="A1:T47"/>
  <sheetViews>
    <sheetView showGridLines="0" showRowColHeaders="0" zoomScale="115" zoomScaleNormal="115" workbookViewId="0">
      <selection activeCell="J14" sqref="J14"/>
    </sheetView>
  </sheetViews>
  <sheetFormatPr baseColWidth="10" defaultRowHeight="15" x14ac:dyDescent="0.25"/>
  <cols>
    <col min="2" max="2" width="6.5703125" customWidth="1"/>
  </cols>
  <sheetData>
    <row r="1" spans="1:20" x14ac:dyDescent="0.25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1"/>
      <c r="S1" s="291"/>
      <c r="T1" s="291"/>
    </row>
    <row r="2" spans="1:20" ht="20.25" x14ac:dyDescent="0.3">
      <c r="A2" s="292"/>
      <c r="B2" s="298" t="s">
        <v>298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1"/>
      <c r="S2" s="291"/>
      <c r="T2" s="291"/>
    </row>
    <row r="3" spans="1:20" ht="20.25" x14ac:dyDescent="0.3">
      <c r="A3" s="292"/>
      <c r="B3" s="294"/>
      <c r="C3" s="294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1"/>
      <c r="S3" s="291"/>
      <c r="T3" s="291"/>
    </row>
    <row r="4" spans="1:20" ht="20.25" x14ac:dyDescent="0.3">
      <c r="A4" s="292"/>
      <c r="B4" s="295" t="s">
        <v>437</v>
      </c>
      <c r="C4" s="293" t="s">
        <v>438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1"/>
      <c r="S4" s="291"/>
      <c r="T4" s="291"/>
    </row>
    <row r="5" spans="1:20" ht="20.25" x14ac:dyDescent="0.3">
      <c r="A5" s="292"/>
      <c r="B5" s="295" t="s">
        <v>153</v>
      </c>
      <c r="C5" s="293" t="s">
        <v>407</v>
      </c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1"/>
      <c r="S5" s="291"/>
      <c r="T5" s="291"/>
    </row>
    <row r="6" spans="1:20" ht="20.25" x14ac:dyDescent="0.3">
      <c r="A6" s="292"/>
      <c r="B6" s="295" t="s">
        <v>299</v>
      </c>
      <c r="C6" s="293" t="s">
        <v>410</v>
      </c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1"/>
      <c r="S6" s="291"/>
      <c r="T6" s="291"/>
    </row>
    <row r="7" spans="1:20" ht="20.25" x14ac:dyDescent="0.3">
      <c r="A7" s="292"/>
      <c r="B7" s="295" t="s">
        <v>154</v>
      </c>
      <c r="C7" s="293" t="s">
        <v>411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1"/>
      <c r="S7" s="291"/>
      <c r="T7" s="291"/>
    </row>
    <row r="8" spans="1:20" ht="20.25" x14ac:dyDescent="0.3">
      <c r="A8" s="292"/>
      <c r="B8" s="295" t="s">
        <v>155</v>
      </c>
      <c r="C8" s="293" t="s">
        <v>408</v>
      </c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1"/>
      <c r="S8" s="291"/>
      <c r="T8" s="291"/>
    </row>
    <row r="9" spans="1:20" ht="20.25" x14ac:dyDescent="0.3">
      <c r="A9" s="292"/>
      <c r="B9" s="295" t="s">
        <v>156</v>
      </c>
      <c r="C9" s="293" t="s">
        <v>412</v>
      </c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1"/>
      <c r="S9" s="291"/>
      <c r="T9" s="291"/>
    </row>
    <row r="10" spans="1:20" ht="20.25" x14ac:dyDescent="0.3">
      <c r="A10" s="292"/>
      <c r="B10" s="297" t="s">
        <v>300</v>
      </c>
      <c r="C10" s="296" t="s">
        <v>413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1"/>
      <c r="S10" s="291"/>
      <c r="T10" s="291"/>
    </row>
    <row r="11" spans="1:20" ht="20.25" x14ac:dyDescent="0.3">
      <c r="A11" s="292"/>
      <c r="B11" s="295" t="s">
        <v>302</v>
      </c>
      <c r="C11" s="293" t="s">
        <v>409</v>
      </c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1"/>
      <c r="S11" s="291"/>
      <c r="T11" s="291"/>
    </row>
    <row r="12" spans="1:20" ht="20.25" x14ac:dyDescent="0.3">
      <c r="A12" s="292"/>
      <c r="B12" s="292"/>
      <c r="C12" s="293" t="s">
        <v>406</v>
      </c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1"/>
      <c r="S12" s="291"/>
      <c r="T12" s="291"/>
    </row>
    <row r="13" spans="1:20" ht="20.25" x14ac:dyDescent="0.3">
      <c r="A13" s="292"/>
      <c r="B13" s="295" t="s">
        <v>310</v>
      </c>
      <c r="C13" s="293" t="s">
        <v>416</v>
      </c>
      <c r="D13" s="292"/>
      <c r="E13" s="292"/>
      <c r="F13" s="292"/>
      <c r="G13" s="292"/>
      <c r="H13" s="292"/>
      <c r="I13" s="292"/>
      <c r="J13" s="292"/>
      <c r="K13" s="446" t="s">
        <v>459</v>
      </c>
      <c r="L13" s="292"/>
      <c r="M13" s="292"/>
      <c r="N13" s="292"/>
      <c r="O13" s="292"/>
      <c r="P13" s="292"/>
      <c r="Q13" s="292"/>
      <c r="R13" s="291"/>
      <c r="S13" s="291"/>
      <c r="T13" s="291"/>
    </row>
    <row r="14" spans="1:20" ht="20.25" x14ac:dyDescent="0.3">
      <c r="A14" s="292"/>
      <c r="B14" s="295" t="s">
        <v>417</v>
      </c>
      <c r="C14" s="293" t="s">
        <v>418</v>
      </c>
      <c r="D14" s="292"/>
      <c r="E14" s="292"/>
      <c r="F14" s="292"/>
      <c r="G14" s="292"/>
      <c r="H14" s="292"/>
      <c r="I14" s="292"/>
      <c r="J14" s="447"/>
      <c r="K14" s="292"/>
      <c r="L14" s="292"/>
      <c r="M14" s="292"/>
      <c r="N14" s="292"/>
      <c r="O14" s="292"/>
      <c r="P14" s="292"/>
      <c r="Q14" s="292"/>
      <c r="R14" s="291"/>
      <c r="S14" s="291"/>
      <c r="T14" s="291"/>
    </row>
    <row r="15" spans="1:20" ht="18.75" x14ac:dyDescent="0.3">
      <c r="A15" s="292"/>
      <c r="B15" s="292"/>
      <c r="C15" s="445" t="s">
        <v>419</v>
      </c>
      <c r="D15" s="292"/>
      <c r="E15" s="292"/>
      <c r="F15" s="292"/>
      <c r="G15" s="292"/>
      <c r="H15" s="292"/>
      <c r="I15" s="292"/>
      <c r="J15" s="292"/>
      <c r="K15" s="446" t="s">
        <v>452</v>
      </c>
      <c r="L15" s="292"/>
      <c r="M15" s="292"/>
      <c r="N15" s="292"/>
      <c r="O15" s="292"/>
      <c r="P15" s="292"/>
      <c r="Q15" s="292"/>
      <c r="R15" s="291"/>
      <c r="S15" s="291"/>
      <c r="T15" s="291"/>
    </row>
    <row r="16" spans="1:20" ht="18.75" x14ac:dyDescent="0.3">
      <c r="A16" s="292"/>
      <c r="B16" s="292"/>
      <c r="C16" s="445" t="s">
        <v>420</v>
      </c>
      <c r="D16" s="292"/>
      <c r="E16" s="292"/>
      <c r="F16" s="292"/>
      <c r="G16" s="292"/>
      <c r="H16" s="292"/>
      <c r="I16" s="292"/>
      <c r="J16" s="292"/>
      <c r="K16" s="448" t="s">
        <v>460</v>
      </c>
      <c r="L16" s="449"/>
      <c r="M16" s="292"/>
      <c r="N16" s="292"/>
      <c r="O16" s="292"/>
      <c r="P16" s="292"/>
      <c r="Q16" s="292"/>
      <c r="R16" s="291"/>
      <c r="S16" s="291"/>
      <c r="T16" s="291"/>
    </row>
    <row r="17" spans="1:20" x14ac:dyDescent="0.25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1"/>
      <c r="S17" s="291"/>
      <c r="T17" s="291"/>
    </row>
    <row r="18" spans="1:20" x14ac:dyDescent="0.25">
      <c r="A18" s="292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1"/>
      <c r="S18" s="291"/>
      <c r="T18" s="291"/>
    </row>
    <row r="19" spans="1:20" x14ac:dyDescent="0.25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</row>
    <row r="20" spans="1:20" x14ac:dyDescent="0.25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</row>
    <row r="21" spans="1:20" x14ac:dyDescent="0.25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</row>
    <row r="22" spans="1:20" x14ac:dyDescent="0.25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</row>
    <row r="23" spans="1:20" x14ac:dyDescent="0.25">
      <c r="A23" s="291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</row>
    <row r="24" spans="1:20" x14ac:dyDescent="0.25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</row>
    <row r="25" spans="1:20" x14ac:dyDescent="0.25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</row>
    <row r="26" spans="1:20" x14ac:dyDescent="0.25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</row>
    <row r="27" spans="1:20" x14ac:dyDescent="0.25">
      <c r="A27" s="291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</row>
    <row r="28" spans="1:20" x14ac:dyDescent="0.25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</row>
    <row r="29" spans="1:20" x14ac:dyDescent="0.25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</row>
    <row r="30" spans="1:20" x14ac:dyDescent="0.25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</row>
    <row r="31" spans="1:20" x14ac:dyDescent="0.25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</row>
    <row r="32" spans="1:20" x14ac:dyDescent="0.25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</row>
    <row r="33" spans="1:20" x14ac:dyDescent="0.25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</row>
    <row r="34" spans="1:20" x14ac:dyDescent="0.25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</row>
    <row r="35" spans="1:20" x14ac:dyDescent="0.25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</row>
    <row r="36" spans="1:20" x14ac:dyDescent="0.2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</row>
    <row r="37" spans="1:20" x14ac:dyDescent="0.25">
      <c r="A37" s="291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</row>
    <row r="38" spans="1:20" x14ac:dyDescent="0.25">
      <c r="A38" s="29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</row>
    <row r="39" spans="1:20" x14ac:dyDescent="0.25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</row>
    <row r="40" spans="1:20" x14ac:dyDescent="0.2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</row>
    <row r="41" spans="1:20" x14ac:dyDescent="0.25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</row>
    <row r="42" spans="1:20" x14ac:dyDescent="0.25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</row>
    <row r="43" spans="1:20" x14ac:dyDescent="0.25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</row>
    <row r="44" spans="1:20" x14ac:dyDescent="0.25">
      <c r="A44" s="29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</row>
    <row r="45" spans="1:20" x14ac:dyDescent="0.25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</row>
    <row r="46" spans="1:20" x14ac:dyDescent="0.25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</row>
    <row r="47" spans="1:20" x14ac:dyDescent="0.25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</row>
  </sheetData>
  <hyperlinks>
    <hyperlink ref="K16" location="RES!B44" display=" --&gt; ver registro" xr:uid="{EA07BBD9-A496-42E5-8C22-36D2743A2323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EA080-301F-4D0D-8D13-F3E2E9E85A4A}">
  <dimension ref="C1:G23"/>
  <sheetViews>
    <sheetView showGridLines="0" topLeftCell="A7" zoomScale="115" zoomScaleNormal="115" workbookViewId="0">
      <selection activeCell="G9" sqref="G9"/>
    </sheetView>
  </sheetViews>
  <sheetFormatPr baseColWidth="10" defaultRowHeight="15" x14ac:dyDescent="0.25"/>
  <cols>
    <col min="1" max="2" width="5.28515625" customWidth="1"/>
    <col min="3" max="3" width="10.5703125" customWidth="1"/>
    <col min="4" max="4" width="44.140625" customWidth="1"/>
    <col min="5" max="5" width="42.85546875" customWidth="1"/>
    <col min="6" max="6" width="43" customWidth="1"/>
  </cols>
  <sheetData>
    <row r="1" spans="3:7" ht="15.75" thickBot="1" x14ac:dyDescent="0.3"/>
    <row r="2" spans="3:7" ht="16.5" thickBot="1" x14ac:dyDescent="0.3">
      <c r="C2" s="528" t="s">
        <v>489</v>
      </c>
      <c r="D2" s="528"/>
      <c r="E2" s="528" t="s">
        <v>488</v>
      </c>
      <c r="F2" s="528"/>
    </row>
    <row r="3" spans="3:7" ht="48" thickBot="1" x14ac:dyDescent="0.3">
      <c r="C3" s="528"/>
      <c r="D3" s="528"/>
      <c r="E3" s="489" t="s">
        <v>486</v>
      </c>
      <c r="F3" s="489" t="s">
        <v>487</v>
      </c>
    </row>
    <row r="5" spans="3:7" ht="15.75" x14ac:dyDescent="0.25">
      <c r="C5" s="485" t="s">
        <v>483</v>
      </c>
      <c r="D5" s="484"/>
      <c r="E5" s="484"/>
      <c r="F5" s="484"/>
    </row>
    <row r="6" spans="3:7" ht="16.5" thickBot="1" x14ac:dyDescent="0.3">
      <c r="C6" s="484"/>
      <c r="D6" s="484"/>
      <c r="E6" s="484"/>
      <c r="F6" s="484"/>
    </row>
    <row r="7" spans="3:7" ht="42" customHeight="1" thickBot="1" x14ac:dyDescent="0.3">
      <c r="C7" s="486">
        <v>2.1</v>
      </c>
      <c r="D7" s="488" t="s">
        <v>484</v>
      </c>
      <c r="E7" s="486" t="s">
        <v>480</v>
      </c>
      <c r="F7" s="486" t="s">
        <v>478</v>
      </c>
    </row>
    <row r="9" spans="3:7" ht="16.5" thickBot="1" x14ac:dyDescent="0.3">
      <c r="C9" s="485" t="s">
        <v>485</v>
      </c>
      <c r="G9" s="239" t="s">
        <v>496</v>
      </c>
    </row>
    <row r="10" spans="3:7" ht="8.25" customHeight="1" x14ac:dyDescent="0.25">
      <c r="C10" s="472"/>
      <c r="D10" s="473"/>
      <c r="E10" s="474"/>
      <c r="F10" s="475"/>
    </row>
    <row r="11" spans="3:7" ht="16.5" customHeight="1" x14ac:dyDescent="0.25">
      <c r="C11" s="476"/>
      <c r="D11" s="477"/>
      <c r="E11" s="478" t="s">
        <v>472</v>
      </c>
      <c r="F11" s="478" t="s">
        <v>475</v>
      </c>
    </row>
    <row r="12" spans="3:7" ht="39" customHeight="1" x14ac:dyDescent="0.25">
      <c r="C12" s="479"/>
      <c r="D12" s="526" t="s">
        <v>494</v>
      </c>
      <c r="E12" s="480" t="s">
        <v>473</v>
      </c>
      <c r="F12" s="480" t="s">
        <v>476</v>
      </c>
    </row>
    <row r="13" spans="3:7" ht="67.5" customHeight="1" thickBot="1" x14ac:dyDescent="0.3">
      <c r="C13" s="481" t="s">
        <v>481</v>
      </c>
      <c r="D13" s="527"/>
      <c r="E13" s="483" t="s">
        <v>474</v>
      </c>
      <c r="F13" s="483" t="s">
        <v>477</v>
      </c>
    </row>
    <row r="14" spans="3:7" ht="6.75" customHeight="1" x14ac:dyDescent="0.25">
      <c r="C14" s="479"/>
      <c r="D14" s="477"/>
      <c r="E14" s="477"/>
      <c r="F14" s="477"/>
    </row>
    <row r="15" spans="3:7" ht="89.25" customHeight="1" thickBot="1" x14ac:dyDescent="0.3">
      <c r="C15" s="481" t="s">
        <v>482</v>
      </c>
      <c r="D15" s="487" t="s">
        <v>493</v>
      </c>
      <c r="E15" s="482" t="s">
        <v>478</v>
      </c>
      <c r="F15" s="482" t="s">
        <v>479</v>
      </c>
    </row>
    <row r="16" spans="3:7" ht="15.75" x14ac:dyDescent="0.25">
      <c r="C16" s="479"/>
      <c r="D16" s="477"/>
      <c r="E16" s="477"/>
      <c r="F16" s="477"/>
    </row>
    <row r="17" spans="3:6" ht="86.25" customHeight="1" thickBot="1" x14ac:dyDescent="0.3">
      <c r="C17" s="490">
        <v>3.11</v>
      </c>
      <c r="D17" s="491" t="s">
        <v>495</v>
      </c>
      <c r="E17" s="478" t="s">
        <v>480</v>
      </c>
      <c r="F17" s="478" t="s">
        <v>478</v>
      </c>
    </row>
    <row r="18" spans="3:6" x14ac:dyDescent="0.25">
      <c r="C18" s="492"/>
      <c r="D18" s="492"/>
      <c r="E18" s="492"/>
      <c r="F18" s="492"/>
    </row>
    <row r="19" spans="3:6" ht="79.5" thickBot="1" x14ac:dyDescent="0.3">
      <c r="C19" s="498">
        <v>3.12</v>
      </c>
      <c r="D19" s="494" t="s">
        <v>492</v>
      </c>
      <c r="E19" s="493" t="s">
        <v>478</v>
      </c>
      <c r="F19" s="495"/>
    </row>
    <row r="20" spans="3:6" ht="15.75" x14ac:dyDescent="0.25">
      <c r="C20" s="499"/>
      <c r="D20" s="497"/>
      <c r="E20" s="496"/>
      <c r="F20" s="497"/>
    </row>
    <row r="21" spans="3:6" ht="95.25" thickBot="1" x14ac:dyDescent="0.3">
      <c r="C21" s="498">
        <v>3.13</v>
      </c>
      <c r="D21" s="494" t="s">
        <v>491</v>
      </c>
      <c r="E21" s="493" t="s">
        <v>480</v>
      </c>
      <c r="F21" s="495"/>
    </row>
    <row r="22" spans="3:6" ht="15.75" x14ac:dyDescent="0.25">
      <c r="C22" s="499"/>
      <c r="D22" s="497"/>
      <c r="E22" s="496"/>
      <c r="F22" s="497"/>
    </row>
    <row r="23" spans="3:6" ht="116.25" customHeight="1" thickBot="1" x14ac:dyDescent="0.3">
      <c r="C23" s="498">
        <v>3.14</v>
      </c>
      <c r="D23" s="494" t="s">
        <v>490</v>
      </c>
      <c r="E23" s="493" t="s">
        <v>480</v>
      </c>
      <c r="F23" s="495"/>
    </row>
  </sheetData>
  <mergeCells count="3">
    <mergeCell ref="D12:D13"/>
    <mergeCell ref="C2:D3"/>
    <mergeCell ref="E2:F2"/>
  </mergeCells>
  <hyperlinks>
    <hyperlink ref="G9" location="Normativa!A1" display=" &lt; --- VOLVER" xr:uid="{095DADAC-67EF-43CA-A98A-7BF2F055C59F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7A93-0BDA-4906-B9CC-24B320EDEDDB}">
  <dimension ref="A1:AB126"/>
  <sheetViews>
    <sheetView showGridLines="0" showRowColHeaders="0" tabSelected="1" topLeftCell="A7" zoomScale="145" zoomScaleNormal="145" workbookViewId="0">
      <selection activeCell="C13" sqref="C13"/>
    </sheetView>
  </sheetViews>
  <sheetFormatPr baseColWidth="10" defaultRowHeight="15" x14ac:dyDescent="0.25"/>
  <cols>
    <col min="1" max="2" width="2.5703125" style="230" customWidth="1"/>
    <col min="3" max="3" width="11.42578125" style="230"/>
    <col min="4" max="4" width="13" style="230" bestFit="1" customWidth="1"/>
    <col min="5" max="6" width="11.85546875" style="230" customWidth="1"/>
    <col min="7" max="13" width="11.42578125" style="230"/>
    <col min="14" max="14" width="12" style="230" bestFit="1" customWidth="1"/>
    <col min="15" max="21" width="11.42578125" style="230"/>
    <col min="22" max="22" width="11.7109375" style="230" customWidth="1"/>
    <col min="23" max="26" width="11.42578125" style="230"/>
    <col min="27" max="27" width="11.85546875" style="230" bestFit="1" customWidth="1"/>
    <col min="28" max="16384" width="11.42578125" style="230"/>
  </cols>
  <sheetData>
    <row r="1" spans="3:24" x14ac:dyDescent="0.25">
      <c r="C1" s="373" t="s">
        <v>362</v>
      </c>
      <c r="D1" s="233"/>
    </row>
    <row r="2" spans="3:24" ht="19.5" x14ac:dyDescent="0.35">
      <c r="C2" s="232" t="s">
        <v>231</v>
      </c>
      <c r="D2" s="315"/>
    </row>
    <row r="3" spans="3:24" ht="19.5" x14ac:dyDescent="0.35">
      <c r="C3" s="232" t="s">
        <v>321</v>
      </c>
    </row>
    <row r="4" spans="3:24" ht="26.25" x14ac:dyDescent="0.4">
      <c r="C4" s="316" t="s">
        <v>291</v>
      </c>
      <c r="D4" s="306" t="s">
        <v>246</v>
      </c>
      <c r="E4" s="307"/>
      <c r="F4" s="307"/>
      <c r="G4" s="308" t="s">
        <v>239</v>
      </c>
      <c r="H4" s="309"/>
      <c r="I4" s="309"/>
      <c r="J4" s="321" t="s">
        <v>240</v>
      </c>
      <c r="K4" s="310"/>
      <c r="L4" s="310"/>
      <c r="M4" s="312"/>
      <c r="N4" s="322" t="s">
        <v>245</v>
      </c>
      <c r="T4" s="277" t="s">
        <v>265</v>
      </c>
      <c r="X4" s="239" t="s">
        <v>273</v>
      </c>
    </row>
    <row r="5" spans="3:24" x14ac:dyDescent="0.25">
      <c r="C5" s="317"/>
      <c r="D5" s="323" t="s">
        <v>232</v>
      </c>
      <c r="E5" s="307"/>
      <c r="F5" s="307"/>
      <c r="G5" s="309" t="s">
        <v>236</v>
      </c>
      <c r="H5" s="309"/>
      <c r="I5" s="309"/>
      <c r="J5" s="310" t="s">
        <v>241</v>
      </c>
      <c r="K5" s="310"/>
      <c r="L5" s="310"/>
      <c r="M5" s="312"/>
      <c r="N5" s="313">
        <v>44002</v>
      </c>
      <c r="T5" s="278" t="s">
        <v>266</v>
      </c>
    </row>
    <row r="6" spans="3:24" ht="17.25" x14ac:dyDescent="0.25">
      <c r="C6" s="318"/>
      <c r="D6" s="323" t="s">
        <v>230</v>
      </c>
      <c r="E6" s="307"/>
      <c r="F6" s="307"/>
      <c r="G6" s="309" t="s">
        <v>235</v>
      </c>
      <c r="H6" s="309"/>
      <c r="I6" s="309"/>
      <c r="J6" s="310" t="s">
        <v>241</v>
      </c>
      <c r="K6" s="310"/>
      <c r="L6" s="310"/>
      <c r="M6" s="312"/>
      <c r="N6" s="312" t="s">
        <v>243</v>
      </c>
      <c r="T6" s="279" t="s">
        <v>267</v>
      </c>
    </row>
    <row r="7" spans="3:24" ht="19.5" x14ac:dyDescent="0.35">
      <c r="C7" s="318"/>
      <c r="D7" s="323" t="s">
        <v>322</v>
      </c>
      <c r="E7" s="307"/>
      <c r="F7" s="307"/>
      <c r="G7" s="309" t="s">
        <v>233</v>
      </c>
      <c r="H7" s="309"/>
      <c r="I7" s="309"/>
      <c r="J7" s="311" t="s">
        <v>237</v>
      </c>
      <c r="K7" s="310"/>
      <c r="L7" s="310"/>
      <c r="M7" s="312"/>
      <c r="N7" s="314" t="s">
        <v>244</v>
      </c>
      <c r="T7" s="279" t="s">
        <v>268</v>
      </c>
    </row>
    <row r="8" spans="3:24" ht="20.25" x14ac:dyDescent="0.3">
      <c r="C8" s="229"/>
      <c r="G8" s="305" t="s">
        <v>468</v>
      </c>
      <c r="H8" s="305"/>
      <c r="I8" s="305"/>
      <c r="T8" s="279" t="s">
        <v>271</v>
      </c>
    </row>
    <row r="9" spans="3:24" x14ac:dyDescent="0.25">
      <c r="C9" s="373" t="s">
        <v>467</v>
      </c>
      <c r="D9" s="233"/>
      <c r="E9" s="233"/>
      <c r="G9" s="305" t="s">
        <v>290</v>
      </c>
      <c r="H9" s="305"/>
      <c r="I9" s="305"/>
      <c r="T9" s="230" t="s">
        <v>272</v>
      </c>
    </row>
    <row r="10" spans="3:24" ht="19.5" x14ac:dyDescent="0.35">
      <c r="C10" s="232" t="s">
        <v>81</v>
      </c>
      <c r="D10" s="315"/>
      <c r="E10" s="239" t="s">
        <v>498</v>
      </c>
      <c r="T10" s="279" t="s">
        <v>269</v>
      </c>
    </row>
    <row r="11" spans="3:24" ht="19.5" x14ac:dyDescent="0.35">
      <c r="C11" s="232" t="s">
        <v>80</v>
      </c>
      <c r="T11" s="280" t="s">
        <v>270</v>
      </c>
    </row>
    <row r="12" spans="3:24" ht="75" customHeight="1" x14ac:dyDescent="0.25">
      <c r="C12" s="516" t="s">
        <v>316</v>
      </c>
      <c r="D12" s="516"/>
      <c r="E12" s="516"/>
      <c r="F12" s="516"/>
      <c r="G12" s="516"/>
      <c r="H12" s="516"/>
      <c r="I12" s="516"/>
      <c r="T12" s="276"/>
    </row>
    <row r="13" spans="3:24" ht="16.5" customHeight="1" x14ac:dyDescent="0.25">
      <c r="C13" s="237"/>
      <c r="D13" s="237"/>
      <c r="E13" s="237"/>
      <c r="F13" s="237"/>
      <c r="G13" s="237"/>
      <c r="H13" s="237"/>
      <c r="I13" s="237"/>
      <c r="K13" s="239"/>
    </row>
    <row r="14" spans="3:24" ht="60" customHeight="1" x14ac:dyDescent="0.25">
      <c r="C14" s="516" t="s">
        <v>317</v>
      </c>
      <c r="D14" s="516"/>
      <c r="E14" s="516"/>
      <c r="F14" s="516"/>
      <c r="G14" s="516"/>
      <c r="H14" s="516"/>
      <c r="I14" s="516"/>
    </row>
    <row r="15" spans="3:24" ht="16.5" customHeight="1" x14ac:dyDescent="0.25"/>
    <row r="16" spans="3:24" x14ac:dyDescent="0.25">
      <c r="C16" s="231" t="s">
        <v>82</v>
      </c>
    </row>
    <row r="17" spans="3:27" x14ac:dyDescent="0.25">
      <c r="C17" s="230" t="s">
        <v>318</v>
      </c>
      <c r="K17" s="239" t="s">
        <v>433</v>
      </c>
    </row>
    <row r="18" spans="3:27" x14ac:dyDescent="0.25">
      <c r="C18" s="230" t="s">
        <v>347</v>
      </c>
    </row>
    <row r="19" spans="3:27" x14ac:dyDescent="0.25">
      <c r="C19" s="230" t="s">
        <v>234</v>
      </c>
    </row>
    <row r="21" spans="3:27" ht="90" customHeight="1" x14ac:dyDescent="0.25"/>
    <row r="22" spans="3:27" ht="19.5" x14ac:dyDescent="0.35">
      <c r="T22" s="232" t="s">
        <v>83</v>
      </c>
    </row>
    <row r="23" spans="3:27" ht="38.25" customHeight="1" x14ac:dyDescent="0.35">
      <c r="T23" s="517" t="s">
        <v>84</v>
      </c>
      <c r="U23" s="517"/>
      <c r="V23" s="517"/>
      <c r="W23" s="517"/>
      <c r="X23" s="517"/>
      <c r="Y23" s="517"/>
      <c r="Z23" s="517"/>
    </row>
    <row r="24" spans="3:27" ht="71.25" customHeight="1" x14ac:dyDescent="0.25">
      <c r="T24" s="516" t="s">
        <v>423</v>
      </c>
      <c r="U24" s="516"/>
      <c r="V24" s="516"/>
      <c r="W24" s="516"/>
      <c r="X24" s="516"/>
      <c r="Y24" s="516"/>
      <c r="Z24" s="516"/>
    </row>
    <row r="25" spans="3:27" ht="19.5" x14ac:dyDescent="0.35">
      <c r="C25" s="232" t="s">
        <v>340</v>
      </c>
    </row>
    <row r="26" spans="3:27" ht="19.5" x14ac:dyDescent="0.35">
      <c r="C26" s="232" t="s">
        <v>336</v>
      </c>
      <c r="T26" s="240" t="s">
        <v>242</v>
      </c>
      <c r="X26" s="240" t="s">
        <v>323</v>
      </c>
    </row>
    <row r="27" spans="3:27" ht="19.5" x14ac:dyDescent="0.35">
      <c r="C27" s="232" t="s">
        <v>337</v>
      </c>
      <c r="K27" s="239" t="s">
        <v>344</v>
      </c>
    </row>
    <row r="28" spans="3:27" ht="47.25" customHeight="1" x14ac:dyDescent="0.25">
      <c r="C28" s="523" t="s">
        <v>338</v>
      </c>
      <c r="D28" s="523"/>
      <c r="E28" s="523"/>
      <c r="F28" s="523"/>
      <c r="G28" s="523"/>
      <c r="H28" s="523"/>
      <c r="I28" s="523"/>
      <c r="J28" s="523"/>
      <c r="T28" s="516" t="s">
        <v>424</v>
      </c>
      <c r="U28" s="516"/>
      <c r="V28" s="516"/>
      <c r="W28" s="516"/>
      <c r="X28" s="516"/>
      <c r="Y28" s="516"/>
      <c r="Z28" s="516"/>
    </row>
    <row r="29" spans="3:27" x14ac:dyDescent="0.25">
      <c r="C29" s="233" t="s">
        <v>339</v>
      </c>
      <c r="D29" s="233"/>
      <c r="E29" s="233"/>
      <c r="F29" s="233"/>
      <c r="G29" s="233"/>
      <c r="H29" s="233"/>
    </row>
    <row r="30" spans="3:27" x14ac:dyDescent="0.25">
      <c r="C30" s="325" t="s">
        <v>341</v>
      </c>
      <c r="D30" s="325"/>
      <c r="E30" s="325"/>
      <c r="F30" s="325"/>
      <c r="T30" s="240" t="s">
        <v>425</v>
      </c>
      <c r="X30" s="240" t="s">
        <v>426</v>
      </c>
      <c r="AA30" s="239" t="s">
        <v>348</v>
      </c>
    </row>
    <row r="31" spans="3:27" x14ac:dyDescent="0.25">
      <c r="C31" s="230" t="s">
        <v>342</v>
      </c>
    </row>
    <row r="32" spans="3:27" x14ac:dyDescent="0.25">
      <c r="H32" s="327" t="s">
        <v>349</v>
      </c>
    </row>
    <row r="33" spans="3:28" ht="19.5" x14ac:dyDescent="0.35">
      <c r="C33" s="232" t="s">
        <v>325</v>
      </c>
    </row>
    <row r="34" spans="3:28" ht="40.5" customHeight="1" x14ac:dyDescent="0.35">
      <c r="C34" s="517" t="s">
        <v>326</v>
      </c>
      <c r="D34" s="517"/>
      <c r="E34" s="517"/>
      <c r="F34" s="517"/>
      <c r="G34" s="517"/>
      <c r="H34" s="517"/>
      <c r="I34" s="517"/>
    </row>
    <row r="35" spans="3:28" ht="15.75" customHeight="1" x14ac:dyDescent="0.25"/>
    <row r="36" spans="3:28" ht="33.75" customHeight="1" x14ac:dyDescent="0.25">
      <c r="C36" s="516" t="s">
        <v>327</v>
      </c>
      <c r="D36" s="516"/>
      <c r="E36" s="516"/>
      <c r="F36" s="516"/>
      <c r="G36" s="516"/>
      <c r="H36" s="516"/>
      <c r="I36" s="516"/>
    </row>
    <row r="37" spans="3:28" ht="72.75" customHeight="1" x14ac:dyDescent="0.25">
      <c r="C37" s="522" t="s">
        <v>466</v>
      </c>
      <c r="D37" s="522"/>
      <c r="E37" s="522"/>
      <c r="F37" s="522"/>
      <c r="G37" s="522"/>
      <c r="H37" s="522"/>
      <c r="I37" s="522"/>
    </row>
    <row r="38" spans="3:28" ht="32.25" customHeight="1" x14ac:dyDescent="0.35">
      <c r="C38" s="521" t="s">
        <v>324</v>
      </c>
      <c r="D38" s="521"/>
      <c r="E38" s="521"/>
      <c r="F38" s="521"/>
      <c r="G38" s="521"/>
      <c r="H38" s="521"/>
      <c r="I38" s="521"/>
      <c r="K38" s="239" t="s">
        <v>259</v>
      </c>
      <c r="U38" s="326" t="s">
        <v>345</v>
      </c>
      <c r="AB38" s="239" t="s">
        <v>346</v>
      </c>
    </row>
    <row r="39" spans="3:28" ht="19.5" x14ac:dyDescent="0.35">
      <c r="U39" s="326" t="s">
        <v>343</v>
      </c>
    </row>
    <row r="40" spans="3:28" x14ac:dyDescent="0.25">
      <c r="H40" s="327" t="s">
        <v>349</v>
      </c>
    </row>
    <row r="42" spans="3:28" ht="19.5" x14ac:dyDescent="0.35">
      <c r="C42" s="232" t="s">
        <v>335</v>
      </c>
      <c r="I42" s="239" t="s">
        <v>228</v>
      </c>
    </row>
    <row r="43" spans="3:28" ht="19.5" x14ac:dyDescent="0.35">
      <c r="C43" s="517" t="s">
        <v>332</v>
      </c>
      <c r="D43" s="517"/>
      <c r="E43" s="517"/>
      <c r="F43" s="517"/>
      <c r="G43" s="517"/>
      <c r="H43" s="517"/>
      <c r="I43" s="517"/>
    </row>
    <row r="44" spans="3:28" x14ac:dyDescent="0.25">
      <c r="C44" s="238" t="s">
        <v>333</v>
      </c>
    </row>
    <row r="45" spans="3:28" x14ac:dyDescent="0.25">
      <c r="C45" s="518" t="s">
        <v>334</v>
      </c>
      <c r="D45" s="518"/>
      <c r="E45" s="518"/>
      <c r="F45" s="518"/>
      <c r="G45" s="518"/>
      <c r="H45" s="518"/>
      <c r="I45" s="518"/>
    </row>
    <row r="46" spans="3:28" x14ac:dyDescent="0.25">
      <c r="C46" s="519" t="s">
        <v>328</v>
      </c>
      <c r="D46" s="519"/>
      <c r="E46" s="519"/>
      <c r="F46" s="519"/>
      <c r="G46" s="519"/>
      <c r="H46" s="519"/>
      <c r="I46" s="519"/>
    </row>
    <row r="47" spans="3:28" x14ac:dyDescent="0.25">
      <c r="C47" s="519" t="s">
        <v>294</v>
      </c>
      <c r="D47" s="519"/>
      <c r="E47" s="519"/>
      <c r="F47" s="519"/>
      <c r="G47" s="519"/>
      <c r="H47" s="519"/>
      <c r="I47" s="519"/>
    </row>
    <row r="48" spans="3:28" x14ac:dyDescent="0.25">
      <c r="C48" s="519" t="s">
        <v>295</v>
      </c>
      <c r="D48" s="519"/>
      <c r="E48" s="519"/>
      <c r="F48" s="519"/>
      <c r="G48" s="519"/>
      <c r="H48" s="519"/>
      <c r="I48" s="519"/>
    </row>
    <row r="49" spans="2:15" x14ac:dyDescent="0.25">
      <c r="C49" s="520" t="s">
        <v>329</v>
      </c>
      <c r="D49" s="520"/>
      <c r="E49" s="520"/>
      <c r="F49" s="520"/>
      <c r="G49" s="520"/>
      <c r="H49" s="520"/>
      <c r="I49" s="520"/>
    </row>
    <row r="50" spans="2:15" x14ac:dyDescent="0.25">
      <c r="C50" s="519" t="s">
        <v>330</v>
      </c>
      <c r="D50" s="519"/>
      <c r="E50" s="519"/>
      <c r="F50" s="519"/>
      <c r="G50" s="519"/>
      <c r="H50" s="519"/>
      <c r="I50" s="519"/>
    </row>
    <row r="51" spans="2:15" x14ac:dyDescent="0.25">
      <c r="C51" s="519" t="s">
        <v>350</v>
      </c>
      <c r="D51" s="519"/>
      <c r="E51" s="519"/>
      <c r="F51" s="519"/>
      <c r="G51" s="519"/>
      <c r="H51" s="519"/>
      <c r="I51" s="519"/>
    </row>
    <row r="52" spans="2:15" x14ac:dyDescent="0.25">
      <c r="C52" s="519" t="s">
        <v>351</v>
      </c>
      <c r="D52" s="519"/>
      <c r="E52" s="519"/>
      <c r="F52" s="519"/>
      <c r="G52" s="519"/>
      <c r="H52" s="519"/>
      <c r="I52" s="519"/>
    </row>
    <row r="53" spans="2:15" x14ac:dyDescent="0.25">
      <c r="C53" s="519" t="s">
        <v>331</v>
      </c>
      <c r="D53" s="519"/>
      <c r="E53" s="519"/>
      <c r="F53" s="519"/>
      <c r="G53" s="519"/>
      <c r="H53" s="519"/>
      <c r="I53" s="519"/>
    </row>
    <row r="54" spans="2:15" x14ac:dyDescent="0.25">
      <c r="B54" s="337"/>
      <c r="C54" s="337"/>
      <c r="D54" s="337"/>
      <c r="E54" s="337"/>
      <c r="F54" s="337"/>
      <c r="G54" s="337"/>
      <c r="H54" s="337"/>
      <c r="I54" s="338"/>
      <c r="J54" s="337"/>
      <c r="K54" s="337"/>
      <c r="L54" s="337"/>
      <c r="M54" s="337"/>
      <c r="N54" s="337"/>
      <c r="O54" s="337"/>
    </row>
    <row r="57" spans="2:15" ht="19.5" x14ac:dyDescent="0.35">
      <c r="C57" s="232" t="s">
        <v>353</v>
      </c>
    </row>
    <row r="59" spans="2:15" x14ac:dyDescent="0.25">
      <c r="C59" s="238" t="s">
        <v>352</v>
      </c>
      <c r="L59" s="328" t="s">
        <v>356</v>
      </c>
    </row>
    <row r="60" spans="2:15" ht="27.75" customHeight="1" x14ac:dyDescent="0.25">
      <c r="C60" s="516" t="s">
        <v>357</v>
      </c>
      <c r="D60" s="516"/>
      <c r="E60" s="516"/>
      <c r="F60" s="516"/>
      <c r="G60" s="516"/>
      <c r="H60" s="516"/>
      <c r="I60" s="516"/>
      <c r="J60" s="516"/>
      <c r="L60" s="328" t="s">
        <v>355</v>
      </c>
    </row>
    <row r="61" spans="2:15" ht="31.5" customHeight="1" x14ac:dyDescent="0.25">
      <c r="C61" s="516" t="s">
        <v>361</v>
      </c>
      <c r="D61" s="516"/>
      <c r="E61" s="516"/>
      <c r="F61" s="516"/>
      <c r="G61" s="516"/>
      <c r="H61" s="516"/>
      <c r="I61" s="516"/>
      <c r="J61" s="516"/>
      <c r="L61" s="328" t="s">
        <v>354</v>
      </c>
    </row>
    <row r="62" spans="2:15" x14ac:dyDescent="0.25">
      <c r="C62" s="230" t="s">
        <v>358</v>
      </c>
      <c r="D62" s="324"/>
      <c r="E62" s="324"/>
      <c r="F62" s="324"/>
      <c r="G62" s="324"/>
      <c r="H62" s="324"/>
      <c r="I62" s="324"/>
      <c r="J62" s="324"/>
    </row>
    <row r="63" spans="2:15" x14ac:dyDescent="0.25">
      <c r="C63" s="230" t="s">
        <v>360</v>
      </c>
      <c r="D63" s="324"/>
      <c r="E63" s="324"/>
      <c r="F63" s="324"/>
      <c r="G63" s="324"/>
      <c r="H63" s="324"/>
      <c r="I63" s="324"/>
      <c r="J63" s="324"/>
    </row>
    <row r="64" spans="2:15" x14ac:dyDescent="0.25">
      <c r="C64" s="230" t="s">
        <v>359</v>
      </c>
      <c r="D64" s="324"/>
      <c r="E64" s="324"/>
      <c r="F64" s="324"/>
      <c r="G64" s="324"/>
      <c r="H64" s="324"/>
      <c r="I64" s="324"/>
      <c r="J64" s="324"/>
    </row>
    <row r="65" spans="4:10" ht="19.5" customHeight="1" x14ac:dyDescent="0.25">
      <c r="D65" s="324"/>
      <c r="E65" s="324"/>
      <c r="F65" s="324"/>
      <c r="G65" s="324"/>
      <c r="H65" s="324"/>
      <c r="I65" s="324"/>
      <c r="J65" s="324"/>
    </row>
    <row r="66" spans="4:10" ht="19.5" customHeight="1" x14ac:dyDescent="0.25">
      <c r="D66" s="324"/>
      <c r="E66" s="324"/>
      <c r="F66" s="324"/>
      <c r="G66" s="324"/>
      <c r="H66" s="324"/>
      <c r="I66" s="329" t="s">
        <v>363</v>
      </c>
      <c r="J66" s="324"/>
    </row>
    <row r="67" spans="4:10" ht="19.5" customHeight="1" x14ac:dyDescent="0.25">
      <c r="D67" s="324"/>
      <c r="E67" s="324"/>
      <c r="F67" s="324"/>
      <c r="G67" s="324"/>
      <c r="H67" s="324"/>
      <c r="I67" s="324"/>
      <c r="J67" s="324"/>
    </row>
    <row r="68" spans="4:10" ht="19.5" customHeight="1" x14ac:dyDescent="0.25">
      <c r="D68" s="324"/>
      <c r="E68" s="324"/>
      <c r="F68" s="324"/>
      <c r="G68" s="324"/>
      <c r="H68" s="324"/>
      <c r="I68" s="324"/>
      <c r="J68" s="324"/>
    </row>
    <row r="69" spans="4:10" ht="19.5" customHeight="1" x14ac:dyDescent="0.25">
      <c r="D69" s="324"/>
      <c r="E69" s="324"/>
      <c r="F69" s="324"/>
      <c r="G69" s="324"/>
      <c r="H69" s="324"/>
      <c r="I69" s="324"/>
      <c r="J69" s="324"/>
    </row>
    <row r="70" spans="4:10" x14ac:dyDescent="0.25">
      <c r="D70" s="303"/>
      <c r="E70" s="303"/>
      <c r="F70" s="303"/>
      <c r="G70" s="303"/>
      <c r="H70" s="303"/>
      <c r="I70" s="303"/>
      <c r="J70" s="303"/>
    </row>
    <row r="95" spans="1:10" ht="25.5" customHeight="1" x14ac:dyDescent="0.25">
      <c r="A95" s="332"/>
      <c r="B95" s="332"/>
      <c r="C95" s="333" t="s">
        <v>372</v>
      </c>
      <c r="D95" s="333" t="s">
        <v>173</v>
      </c>
      <c r="E95" s="333" t="s">
        <v>364</v>
      </c>
      <c r="F95" s="333" t="s">
        <v>365</v>
      </c>
      <c r="G95" s="333" t="s">
        <v>366</v>
      </c>
      <c r="H95" s="333" t="s">
        <v>367</v>
      </c>
      <c r="I95" s="333" t="s">
        <v>368</v>
      </c>
      <c r="J95" s="333" t="s">
        <v>369</v>
      </c>
    </row>
    <row r="96" spans="1:10" x14ac:dyDescent="0.25">
      <c r="C96" s="331">
        <v>1</v>
      </c>
      <c r="D96" s="334">
        <v>1027049024</v>
      </c>
      <c r="E96" s="334">
        <v>2</v>
      </c>
      <c r="F96" s="335">
        <v>373401900008678</v>
      </c>
      <c r="G96" s="336">
        <v>43942</v>
      </c>
      <c r="H96" s="334">
        <v>1500</v>
      </c>
      <c r="I96" s="334" t="s">
        <v>370</v>
      </c>
      <c r="J96" s="330"/>
    </row>
    <row r="99" spans="7:27" ht="19.5" x14ac:dyDescent="0.35">
      <c r="V99" s="506" t="s">
        <v>507</v>
      </c>
      <c r="W99" s="233"/>
      <c r="X99" s="233"/>
    </row>
    <row r="101" spans="7:27" x14ac:dyDescent="0.25">
      <c r="G101" s="239" t="s">
        <v>373</v>
      </c>
      <c r="V101" s="505" t="s">
        <v>499</v>
      </c>
    </row>
    <row r="102" spans="7:27" ht="16.5" x14ac:dyDescent="0.25">
      <c r="V102" s="502"/>
    </row>
    <row r="103" spans="7:27" x14ac:dyDescent="0.25">
      <c r="V103" s="230" t="s">
        <v>503</v>
      </c>
    </row>
    <row r="104" spans="7:27" x14ac:dyDescent="0.25">
      <c r="V104" s="230" t="s">
        <v>518</v>
      </c>
    </row>
    <row r="105" spans="7:27" x14ac:dyDescent="0.25">
      <c r="V105" s="230" t="s">
        <v>500</v>
      </c>
    </row>
    <row r="107" spans="7:27" x14ac:dyDescent="0.25">
      <c r="V107" s="503" t="s">
        <v>263</v>
      </c>
      <c r="W107" s="230" t="s">
        <v>501</v>
      </c>
      <c r="AA107" s="240" t="s">
        <v>511</v>
      </c>
    </row>
    <row r="109" spans="7:27" x14ac:dyDescent="0.25">
      <c r="V109" s="230" t="s">
        <v>505</v>
      </c>
    </row>
    <row r="110" spans="7:27" x14ac:dyDescent="0.25">
      <c r="V110" s="230" t="s">
        <v>504</v>
      </c>
    </row>
    <row r="111" spans="7:27" x14ac:dyDescent="0.25">
      <c r="V111" s="230" t="s">
        <v>519</v>
      </c>
    </row>
    <row r="112" spans="7:27" x14ac:dyDescent="0.25">
      <c r="V112" s="230" t="s">
        <v>502</v>
      </c>
    </row>
    <row r="114" spans="22:27" x14ac:dyDescent="0.25">
      <c r="V114" s="503" t="s">
        <v>263</v>
      </c>
      <c r="W114" s="230" t="s">
        <v>517</v>
      </c>
      <c r="AA114" s="240" t="s">
        <v>511</v>
      </c>
    </row>
    <row r="116" spans="22:27" x14ac:dyDescent="0.25">
      <c r="V116" s="504" t="s">
        <v>506</v>
      </c>
    </row>
    <row r="117" spans="22:27" x14ac:dyDescent="0.25">
      <c r="V117" s="230" t="s">
        <v>508</v>
      </c>
    </row>
    <row r="118" spans="22:27" x14ac:dyDescent="0.25">
      <c r="V118" s="230" t="s">
        <v>509</v>
      </c>
    </row>
    <row r="119" spans="22:27" x14ac:dyDescent="0.25">
      <c r="V119" s="230" t="s">
        <v>512</v>
      </c>
    </row>
    <row r="120" spans="22:27" x14ac:dyDescent="0.25">
      <c r="V120" s="230" t="s">
        <v>520</v>
      </c>
    </row>
    <row r="121" spans="22:27" x14ac:dyDescent="0.25">
      <c r="V121" s="230" t="s">
        <v>510</v>
      </c>
    </row>
    <row r="122" spans="22:27" x14ac:dyDescent="0.25">
      <c r="W122" s="507">
        <v>43862</v>
      </c>
      <c r="X122" s="230" t="s">
        <v>513</v>
      </c>
      <c r="Z122" s="240" t="s">
        <v>515</v>
      </c>
      <c r="AA122" s="240" t="s">
        <v>511</v>
      </c>
    </row>
    <row r="123" spans="22:27" x14ac:dyDescent="0.25">
      <c r="W123" s="507">
        <v>43891</v>
      </c>
      <c r="X123" s="230" t="s">
        <v>513</v>
      </c>
      <c r="Z123" s="240" t="s">
        <v>516</v>
      </c>
      <c r="AA123" s="508">
        <v>44002</v>
      </c>
    </row>
    <row r="124" spans="22:27" x14ac:dyDescent="0.25">
      <c r="W124" s="510">
        <v>43922</v>
      </c>
      <c r="X124" s="509" t="s">
        <v>514</v>
      </c>
      <c r="Y124" s="509"/>
    </row>
    <row r="125" spans="22:27" x14ac:dyDescent="0.25">
      <c r="W125" s="510">
        <v>43952</v>
      </c>
      <c r="X125" s="509" t="s">
        <v>514</v>
      </c>
      <c r="Y125" s="509"/>
    </row>
    <row r="126" spans="22:27" x14ac:dyDescent="0.25">
      <c r="W126" s="510">
        <v>43983</v>
      </c>
      <c r="X126" s="509" t="s">
        <v>514</v>
      </c>
      <c r="Y126" s="509"/>
    </row>
  </sheetData>
  <mergeCells count="22">
    <mergeCell ref="C38:I38"/>
    <mergeCell ref="C12:I12"/>
    <mergeCell ref="C14:I14"/>
    <mergeCell ref="T24:Z24"/>
    <mergeCell ref="T28:Z28"/>
    <mergeCell ref="C37:I37"/>
    <mergeCell ref="T23:Z23"/>
    <mergeCell ref="C36:I36"/>
    <mergeCell ref="C34:I34"/>
    <mergeCell ref="C28:J28"/>
    <mergeCell ref="C60:J60"/>
    <mergeCell ref="C61:J61"/>
    <mergeCell ref="C43:I43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</mergeCells>
  <hyperlinks>
    <hyperlink ref="X4" location="Normativa!A13" display="  &lt; --- volver" xr:uid="{4523EE15-9B77-4D6A-8AB5-32DDA6D15B77}"/>
    <hyperlink ref="K38" location="TIME!A65" display="ir a Ejemplo --&gt;" xr:uid="{DB6A3557-BB53-4EAB-B8F9-0F1562D386C8}"/>
    <hyperlink ref="K27" location="Normativa!AD53" display=" ---&gt;  ver DS 21531 RC IVA" xr:uid="{3619C6CA-0035-4A83-AD40-9C169B3F73FA}"/>
    <hyperlink ref="AB38" location="Normativa!B27" display="&lt;-- Volver" xr:uid="{863EB3F5-2095-4575-965D-5CBC8C9BA828}"/>
    <hyperlink ref="AA30" location="Normativa!B12" display=" &lt; - - Volver" xr:uid="{1B668AC0-0EF6-4942-86C2-2FA1461A94F3}"/>
    <hyperlink ref="C1" location="Normativa!A74" display=" --&gt; Ver DS 3890" xr:uid="{44E0A421-4BC5-45F9-B868-2F0520D8DCAA}"/>
    <hyperlink ref="I66" location="Normativa!A1" display="Volver ---&gt;" xr:uid="{FA5FA744-6737-4B82-9556-B210FB5A38D1}"/>
    <hyperlink ref="G101" location="Normativa!A1" display="Volver ==&gt;" xr:uid="{0FEAF0D7-184B-4510-9305-D276C310907A}"/>
    <hyperlink ref="C9" location="Normativa!AC30" display="RND 1020_06  --&gt; IR" xr:uid="{32834E4F-DBCF-4352-9916-B8B60DC72995}"/>
    <hyperlink ref="I42" location="Normativa!A1" display="Volver --&gt;" xr:uid="{A92F0062-0010-4A3D-BB32-6409662EE943}"/>
    <hyperlink ref="K17" location="TIME!A1" display="NEXT &gt;&gt;&gt;" xr:uid="{880B8D62-A244-47A8-BDE7-8E58E54F50F8}"/>
    <hyperlink ref="E10" location="Normativa!AD111" display="RND 1020_10   &gt;&gt;&gt;" xr:uid="{2D1C6FD1-E0E8-4540-A777-F4AE4E1164F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91F0-B527-4CA7-83CD-5BC429FE17E0}">
  <dimension ref="A1:N61"/>
  <sheetViews>
    <sheetView showGridLines="0" showRowColHeaders="0" topLeftCell="A16" zoomScale="130" zoomScaleNormal="130" workbookViewId="0">
      <selection activeCell="H39" sqref="H39"/>
    </sheetView>
  </sheetViews>
  <sheetFormatPr baseColWidth="10" defaultRowHeight="15" x14ac:dyDescent="0.25"/>
  <cols>
    <col min="1" max="3" width="11.42578125" style="160"/>
    <col min="4" max="4" width="15.85546875" style="160" bestFit="1" customWidth="1"/>
    <col min="5" max="5" width="15.5703125" style="160" bestFit="1" customWidth="1"/>
    <col min="6" max="6" width="16" style="160" customWidth="1"/>
    <col min="7" max="16384" width="11.42578125" style="160"/>
  </cols>
  <sheetData>
    <row r="1" spans="3:10" x14ac:dyDescent="0.25">
      <c r="C1" s="264"/>
      <c r="D1" s="264"/>
      <c r="E1" s="264"/>
      <c r="F1" s="264"/>
      <c r="G1" s="264"/>
      <c r="H1" s="264"/>
      <c r="I1" s="264"/>
    </row>
    <row r="2" spans="3:10" ht="18.75" x14ac:dyDescent="0.3">
      <c r="C2" s="513" t="s">
        <v>91</v>
      </c>
      <c r="D2" s="264"/>
      <c r="E2" s="264"/>
      <c r="F2" s="264"/>
      <c r="G2" s="264"/>
      <c r="H2" s="370"/>
      <c r="I2" s="264"/>
    </row>
    <row r="3" spans="3:10" ht="18.75" x14ac:dyDescent="0.3">
      <c r="C3" s="264"/>
      <c r="D3" s="265"/>
      <c r="E3" s="264"/>
      <c r="F3" s="264"/>
      <c r="G3" s="264"/>
      <c r="H3" s="264"/>
      <c r="I3" s="264"/>
    </row>
    <row r="4" spans="3:10" ht="18.75" x14ac:dyDescent="0.3">
      <c r="C4" s="266" t="s">
        <v>90</v>
      </c>
      <c r="D4" s="264"/>
      <c r="E4" s="267" t="s">
        <v>89</v>
      </c>
      <c r="F4" s="264"/>
      <c r="G4" s="365" t="s">
        <v>422</v>
      </c>
      <c r="H4" s="264"/>
      <c r="I4" s="367" t="s">
        <v>421</v>
      </c>
      <c r="J4" s="366"/>
    </row>
    <row r="5" spans="3:10" x14ac:dyDescent="0.25">
      <c r="C5" s="264"/>
      <c r="D5" s="264"/>
      <c r="E5" s="264"/>
      <c r="F5" s="264"/>
      <c r="G5" s="264"/>
      <c r="H5" s="264"/>
      <c r="I5" s="264"/>
    </row>
    <row r="6" spans="3:10" x14ac:dyDescent="0.25">
      <c r="C6" s="264"/>
      <c r="D6" s="264"/>
      <c r="E6" s="264"/>
      <c r="F6" s="264"/>
      <c r="G6" s="264"/>
      <c r="H6" s="264"/>
      <c r="I6" s="264"/>
    </row>
    <row r="7" spans="3:10" x14ac:dyDescent="0.25">
      <c r="C7" s="264"/>
      <c r="D7" s="264"/>
      <c r="E7" s="264"/>
      <c r="F7" s="264"/>
      <c r="G7" s="264"/>
      <c r="H7" s="264"/>
      <c r="I7" s="264"/>
    </row>
    <row r="8" spans="3:10" x14ac:dyDescent="0.25">
      <c r="C8" s="264"/>
      <c r="D8" s="264"/>
      <c r="E8" s="264"/>
      <c r="F8" s="264"/>
      <c r="G8" s="264"/>
      <c r="H8" s="264"/>
      <c r="I8" s="264"/>
    </row>
    <row r="9" spans="3:10" ht="21" customHeight="1" x14ac:dyDescent="0.25">
      <c r="C9" s="264"/>
      <c r="D9" s="264"/>
      <c r="E9" s="264"/>
      <c r="F9" s="264"/>
      <c r="G9" s="264"/>
      <c r="H9" s="264"/>
      <c r="I9" s="264"/>
    </row>
    <row r="10" spans="3:10" ht="27" customHeight="1" x14ac:dyDescent="0.3">
      <c r="C10" s="268" t="s">
        <v>238</v>
      </c>
      <c r="D10" s="264"/>
      <c r="E10" s="264"/>
      <c r="F10" s="264"/>
      <c r="G10" s="269" t="s">
        <v>81</v>
      </c>
      <c r="H10" s="264"/>
      <c r="I10" s="264"/>
      <c r="J10" s="511" t="s">
        <v>497</v>
      </c>
    </row>
    <row r="11" spans="3:10" ht="20.25" x14ac:dyDescent="0.3">
      <c r="C11" s="371" t="s">
        <v>470</v>
      </c>
      <c r="D11" s="264"/>
      <c r="E11" s="264"/>
      <c r="F11" s="264"/>
      <c r="G11" s="370" t="s">
        <v>429</v>
      </c>
      <c r="H11" s="264"/>
      <c r="I11" s="264"/>
      <c r="J11" s="512" t="s">
        <v>521</v>
      </c>
    </row>
    <row r="12" spans="3:10" ht="20.25" x14ac:dyDescent="0.3">
      <c r="C12" s="369" t="s">
        <v>469</v>
      </c>
      <c r="D12" s="264"/>
      <c r="E12" s="264"/>
      <c r="F12" s="264"/>
      <c r="G12" s="370" t="s">
        <v>430</v>
      </c>
      <c r="H12" s="264"/>
      <c r="I12" s="264"/>
      <c r="J12" s="512" t="s">
        <v>522</v>
      </c>
    </row>
    <row r="13" spans="3:10" ht="15.75" x14ac:dyDescent="0.25">
      <c r="G13" s="161"/>
    </row>
    <row r="14" spans="3:10" ht="15.75" x14ac:dyDescent="0.25">
      <c r="G14" s="161"/>
    </row>
    <row r="15" spans="3:10" ht="15.75" x14ac:dyDescent="0.25">
      <c r="G15" s="161"/>
      <c r="H15" s="370"/>
    </row>
    <row r="16" spans="3:10" ht="20.25" x14ac:dyDescent="0.3">
      <c r="C16" s="270"/>
      <c r="G16" s="161"/>
    </row>
    <row r="17" spans="7:9" ht="15.75" x14ac:dyDescent="0.25">
      <c r="G17" s="161"/>
    </row>
    <row r="26" spans="7:9" ht="21" x14ac:dyDescent="0.35">
      <c r="H26" s="263" t="s">
        <v>523</v>
      </c>
      <c r="I26" s="262"/>
    </row>
    <row r="39" spans="1:14" x14ac:dyDescent="0.25">
      <c r="A39" s="339"/>
      <c r="B39" s="339"/>
      <c r="C39" s="339"/>
      <c r="D39" s="339"/>
      <c r="E39" s="339"/>
      <c r="F39" s="339"/>
      <c r="G39" s="339"/>
      <c r="H39" s="338" t="s">
        <v>434</v>
      </c>
      <c r="I39" s="339"/>
      <c r="J39" s="339"/>
      <c r="K39" s="339"/>
      <c r="L39" s="339"/>
      <c r="M39" s="339"/>
      <c r="N39" s="339"/>
    </row>
    <row r="47" spans="1:14" ht="18.75" x14ac:dyDescent="0.3">
      <c r="C47" s="271" t="s">
        <v>264</v>
      </c>
      <c r="G47" s="283" t="str">
        <f>+Normativa!T4</f>
        <v>prórroga</v>
      </c>
    </row>
    <row r="48" spans="1:14" ht="23.25" x14ac:dyDescent="0.35">
      <c r="C48" s="273"/>
      <c r="D48" s="273" t="s">
        <v>280</v>
      </c>
      <c r="E48" s="273"/>
      <c r="F48" s="273"/>
      <c r="G48" s="272" t="str">
        <f>+Normativa!T6</f>
        <v>1. f. Continuación de algo por un tiempo determinado.</v>
      </c>
    </row>
    <row r="49" spans="1:10" ht="18.75" x14ac:dyDescent="0.3">
      <c r="C49" s="273"/>
      <c r="D49" s="273" t="s">
        <v>260</v>
      </c>
      <c r="E49" s="273" t="s">
        <v>261</v>
      </c>
      <c r="F49" s="273"/>
      <c r="G49" s="272" t="str">
        <f>+Normativa!T7</f>
        <v>2. f. Plazo por el cual se continúa o prorroga algo.</v>
      </c>
    </row>
    <row r="50" spans="1:10" ht="18.75" x14ac:dyDescent="0.3">
      <c r="C50" s="273"/>
      <c r="D50" s="273"/>
      <c r="E50" s="281" t="s">
        <v>278</v>
      </c>
      <c r="F50" s="273"/>
      <c r="G50" s="272" t="str">
        <f>+Normativa!T8</f>
        <v>3. f. Período suplementario de juego, de diferente duración </v>
      </c>
    </row>
    <row r="51" spans="1:10" ht="18.75" x14ac:dyDescent="0.3">
      <c r="C51" s="273"/>
      <c r="D51" s="273"/>
      <c r="E51" s="273"/>
      <c r="F51" s="273"/>
    </row>
    <row r="52" spans="1:10" ht="18.75" x14ac:dyDescent="0.3">
      <c r="C52" s="273" t="s">
        <v>263</v>
      </c>
      <c r="D52" s="273" t="s">
        <v>279</v>
      </c>
      <c r="E52" s="273" t="s">
        <v>262</v>
      </c>
      <c r="F52" s="273"/>
    </row>
    <row r="53" spans="1:10" ht="18.75" x14ac:dyDescent="0.3">
      <c r="C53" s="273"/>
      <c r="E53" s="273"/>
      <c r="F53" s="273"/>
      <c r="H53" s="290" t="s">
        <v>284</v>
      </c>
    </row>
    <row r="54" spans="1:10" ht="18.75" x14ac:dyDescent="0.3">
      <c r="D54" s="287">
        <v>43922</v>
      </c>
      <c r="E54" s="159"/>
      <c r="F54" s="287">
        <v>43952</v>
      </c>
      <c r="J54" s="283" t="s">
        <v>296</v>
      </c>
    </row>
    <row r="55" spans="1:10" ht="18.75" x14ac:dyDescent="0.3">
      <c r="A55" s="160" t="s">
        <v>282</v>
      </c>
      <c r="B55" s="262"/>
      <c r="C55" s="286" t="s">
        <v>274</v>
      </c>
      <c r="D55" s="286">
        <v>43926</v>
      </c>
      <c r="E55" s="275">
        <f>WEEKDAY(D55)</f>
        <v>1</v>
      </c>
      <c r="F55" s="286">
        <v>43971</v>
      </c>
      <c r="G55" s="275">
        <f>WEEKDAY(F55)</f>
        <v>4</v>
      </c>
      <c r="J55" s="272" t="s">
        <v>297</v>
      </c>
    </row>
    <row r="56" spans="1:10" ht="18.75" x14ac:dyDescent="0.3">
      <c r="A56" s="160" t="s">
        <v>282</v>
      </c>
      <c r="B56" s="284"/>
      <c r="C56" s="285" t="s">
        <v>276</v>
      </c>
      <c r="D56" s="286">
        <f>+D55-120</f>
        <v>43806</v>
      </c>
      <c r="E56" s="275">
        <f>WEEKDAY(D56)</f>
        <v>7</v>
      </c>
      <c r="F56" s="286">
        <f>+F55-120</f>
        <v>43851</v>
      </c>
      <c r="G56" s="275">
        <f>WEEKDAY(F56)</f>
        <v>3</v>
      </c>
    </row>
    <row r="57" spans="1:10" ht="18.75" x14ac:dyDescent="0.3">
      <c r="A57" s="160" t="s">
        <v>282</v>
      </c>
      <c r="B57" s="284"/>
      <c r="C57" s="286" t="s">
        <v>281</v>
      </c>
      <c r="D57" s="286">
        <v>44002</v>
      </c>
      <c r="E57" s="275">
        <f>WEEKDAY(D57)</f>
        <v>7</v>
      </c>
      <c r="F57" s="286">
        <v>44002</v>
      </c>
      <c r="G57" s="275">
        <f>WEEKDAY(F57)</f>
        <v>7</v>
      </c>
    </row>
    <row r="59" spans="1:10" ht="18.75" x14ac:dyDescent="0.3">
      <c r="A59" s="160" t="s">
        <v>283</v>
      </c>
      <c r="B59" s="283"/>
      <c r="C59" s="273" t="s">
        <v>275</v>
      </c>
      <c r="D59" s="274">
        <v>43942</v>
      </c>
      <c r="E59" s="275">
        <f>WEEKDAY(D59)</f>
        <v>3</v>
      </c>
      <c r="F59" s="274">
        <v>43972</v>
      </c>
      <c r="G59" s="275">
        <f>WEEKDAY(F59)</f>
        <v>5</v>
      </c>
    </row>
    <row r="60" spans="1:10" ht="18.75" x14ac:dyDescent="0.3">
      <c r="A60" s="160" t="s">
        <v>283</v>
      </c>
      <c r="C60" s="282" t="s">
        <v>277</v>
      </c>
      <c r="D60" s="274">
        <f>IF(D59&gt;0,D59-120,0)</f>
        <v>43822</v>
      </c>
      <c r="E60" s="275">
        <f>WEEKDAY(D60)</f>
        <v>2</v>
      </c>
      <c r="F60" s="274">
        <f>IF(F59&gt;0,F59-120,0)</f>
        <v>43852</v>
      </c>
      <c r="G60" s="275">
        <f>WEEKDAY(F60)</f>
        <v>4</v>
      </c>
    </row>
    <row r="61" spans="1:10" x14ac:dyDescent="0.25">
      <c r="D61" s="275"/>
    </row>
  </sheetData>
  <phoneticPr fontId="181" type="noConversion"/>
  <hyperlinks>
    <hyperlink ref="H53" location="Normativa!J38" display="  &lt;---Volver" xr:uid="{1481B91A-E328-4653-9FB9-56A934E882AF}"/>
    <hyperlink ref="H39" location="AC!A1" display="Next page - AC &gt;&gt;&gt;" xr:uid="{B5BDDC54-54F5-4E3A-AF46-BC301303175B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8011-9370-46BD-B18B-0C457E4997FC}">
  <dimension ref="B22:N314"/>
  <sheetViews>
    <sheetView showGridLines="0" showRowColHeaders="0" topLeftCell="A28" zoomScaleNormal="100" workbookViewId="0"/>
  </sheetViews>
  <sheetFormatPr baseColWidth="10" defaultRowHeight="15" x14ac:dyDescent="0.25"/>
  <sheetData>
    <row r="22" spans="6:6" x14ac:dyDescent="0.25">
      <c r="F22" s="239" t="s">
        <v>371</v>
      </c>
    </row>
    <row r="64" spans="3:3" ht="19.5" x14ac:dyDescent="0.35">
      <c r="C64" s="372" t="s">
        <v>374</v>
      </c>
    </row>
    <row r="66" spans="3:13" x14ac:dyDescent="0.25">
      <c r="C66" s="41" t="s">
        <v>311</v>
      </c>
      <c r="D66" s="239" t="s">
        <v>312</v>
      </c>
    </row>
    <row r="68" spans="3:13" s="304" customFormat="1" ht="99" customHeight="1" x14ac:dyDescent="0.3">
      <c r="C68" s="524" t="s">
        <v>313</v>
      </c>
      <c r="D68" s="524"/>
      <c r="E68" s="524"/>
      <c r="F68" s="524"/>
      <c r="G68" s="524"/>
      <c r="H68" s="524"/>
      <c r="I68" s="524"/>
      <c r="J68" s="524"/>
      <c r="K68" s="524"/>
      <c r="L68" s="524"/>
      <c r="M68" s="524"/>
    </row>
    <row r="69" spans="3:13" x14ac:dyDescent="0.25">
      <c r="E69" s="239" t="s">
        <v>314</v>
      </c>
    </row>
    <row r="71" spans="3:13" ht="38.25" customHeight="1" x14ac:dyDescent="0.3">
      <c r="C71" s="524" t="s">
        <v>315</v>
      </c>
      <c r="D71" s="524"/>
      <c r="E71" s="524"/>
      <c r="F71" s="524"/>
      <c r="G71" s="524"/>
      <c r="H71" s="524"/>
      <c r="I71" s="524"/>
      <c r="J71" s="524"/>
      <c r="K71" s="524"/>
      <c r="L71" s="524"/>
      <c r="M71" s="524"/>
    </row>
    <row r="74" spans="3:13" x14ac:dyDescent="0.25">
      <c r="C74" s="41" t="s">
        <v>311</v>
      </c>
      <c r="D74" s="239" t="s">
        <v>431</v>
      </c>
    </row>
    <row r="75" spans="3:13" x14ac:dyDescent="0.25">
      <c r="C75" s="239"/>
    </row>
    <row r="76" spans="3:13" ht="63" customHeight="1" x14ac:dyDescent="0.3">
      <c r="C76" s="524" t="s">
        <v>432</v>
      </c>
      <c r="D76" s="524"/>
      <c r="E76" s="524"/>
      <c r="F76" s="524"/>
      <c r="G76" s="524"/>
      <c r="H76" s="524"/>
      <c r="I76" s="524"/>
      <c r="J76" s="524"/>
      <c r="K76" s="524"/>
      <c r="L76" s="524"/>
      <c r="M76" s="524"/>
    </row>
    <row r="143" spans="12:12" x14ac:dyDescent="0.25">
      <c r="L143" s="239" t="s">
        <v>377</v>
      </c>
    </row>
    <row r="183" spans="14:14" x14ac:dyDescent="0.25">
      <c r="N183" s="239" t="s">
        <v>378</v>
      </c>
    </row>
    <row r="255" spans="14:14" x14ac:dyDescent="0.25">
      <c r="N255" s="239" t="s">
        <v>228</v>
      </c>
    </row>
    <row r="281" spans="2:9" x14ac:dyDescent="0.25">
      <c r="C281" s="342"/>
      <c r="D281" s="342"/>
      <c r="E281" s="343"/>
      <c r="F281" s="342"/>
      <c r="G281" s="342"/>
    </row>
    <row r="282" spans="2:9" x14ac:dyDescent="0.25">
      <c r="C282" s="342"/>
      <c r="D282" s="342"/>
      <c r="E282" s="343"/>
      <c r="F282" s="342"/>
      <c r="G282" s="342"/>
    </row>
    <row r="283" spans="2:9" x14ac:dyDescent="0.25">
      <c r="B283" s="394"/>
      <c r="C283" s="395"/>
      <c r="D283" s="396"/>
      <c r="E283" s="395"/>
      <c r="F283" s="395"/>
      <c r="G283" s="396"/>
      <c r="H283" s="395"/>
      <c r="I283" s="397"/>
    </row>
    <row r="284" spans="2:9" x14ac:dyDescent="0.25">
      <c r="B284" s="398"/>
      <c r="C284" s="399"/>
      <c r="D284" s="400"/>
      <c r="E284" s="401" t="s">
        <v>397</v>
      </c>
      <c r="F284" s="399"/>
      <c r="G284" s="400"/>
      <c r="H284" s="399"/>
      <c r="I284" s="402"/>
    </row>
    <row r="285" spans="2:9" x14ac:dyDescent="0.25">
      <c r="B285" s="398"/>
      <c r="C285" s="400" t="s">
        <v>380</v>
      </c>
      <c r="D285" s="400"/>
      <c r="E285" s="401" t="s">
        <v>398</v>
      </c>
      <c r="F285" s="403"/>
      <c r="G285" s="400"/>
      <c r="H285" s="399"/>
      <c r="I285" s="402"/>
    </row>
    <row r="286" spans="2:9" x14ac:dyDescent="0.25">
      <c r="B286" s="398"/>
      <c r="C286" s="399"/>
      <c r="D286" s="404"/>
      <c r="E286" s="401" t="s">
        <v>381</v>
      </c>
      <c r="F286" s="399"/>
      <c r="G286" s="404"/>
      <c r="H286" s="399"/>
      <c r="I286" s="402"/>
    </row>
    <row r="287" spans="2:9" ht="15.75" thickBot="1" x14ac:dyDescent="0.3">
      <c r="B287" s="398"/>
      <c r="C287" s="401"/>
      <c r="D287" s="401"/>
      <c r="E287" s="405"/>
      <c r="F287" s="401"/>
      <c r="G287" s="401"/>
      <c r="H287" s="399"/>
      <c r="I287" s="402"/>
    </row>
    <row r="288" spans="2:9" x14ac:dyDescent="0.25">
      <c r="B288" s="398"/>
      <c r="C288" s="384" t="s">
        <v>382</v>
      </c>
      <c r="D288" s="385" t="str">
        <f>+'Plla rc iva'!E14&amp;" "&amp;'Plla rc iva'!F14&amp;" "&amp;'Plla rc iva'!G14</f>
        <v>NORMA PEREZ TERAN</v>
      </c>
      <c r="E288" s="385"/>
      <c r="F288" s="386" t="s">
        <v>383</v>
      </c>
      <c r="G288" s="387" t="str">
        <f>+'Plla SYS'!H53</f>
        <v>Gerente General</v>
      </c>
      <c r="H288" s="388"/>
      <c r="I288" s="402"/>
    </row>
    <row r="289" spans="2:10" ht="15.75" thickBot="1" x14ac:dyDescent="0.3">
      <c r="B289" s="398"/>
      <c r="C289" s="389" t="s">
        <v>384</v>
      </c>
      <c r="D289" s="390"/>
      <c r="E289" s="390">
        <f>+'Plla SYS'!I53</f>
        <v>37305</v>
      </c>
      <c r="F289" s="391" t="s">
        <v>385</v>
      </c>
      <c r="G289" s="392">
        <f>+'Plla SYS'!M43</f>
        <v>44012</v>
      </c>
      <c r="H289" s="393"/>
      <c r="I289" s="402"/>
    </row>
    <row r="290" spans="2:10" x14ac:dyDescent="0.25">
      <c r="B290" s="398"/>
      <c r="C290" s="346"/>
      <c r="D290" s="399"/>
      <c r="E290" s="406"/>
      <c r="F290" s="407"/>
      <c r="G290" s="406"/>
      <c r="H290" s="347"/>
      <c r="I290" s="402"/>
    </row>
    <row r="291" spans="2:10" x14ac:dyDescent="0.25">
      <c r="B291" s="398"/>
      <c r="C291" s="346" t="s">
        <v>386</v>
      </c>
      <c r="D291" s="399"/>
      <c r="E291" s="406"/>
      <c r="F291" s="407"/>
      <c r="G291" s="408">
        <f>+'Plla SYS'!J53</f>
        <v>25203.345171268185</v>
      </c>
      <c r="H291" s="348"/>
      <c r="I291" s="402"/>
    </row>
    <row r="292" spans="2:10" x14ac:dyDescent="0.25">
      <c r="B292" s="398"/>
      <c r="C292" s="346" t="s">
        <v>387</v>
      </c>
      <c r="D292" s="399"/>
      <c r="E292" s="406"/>
      <c r="F292" s="407"/>
      <c r="G292" s="408">
        <f>+'Plla SYS'!M53</f>
        <v>2164.44</v>
      </c>
      <c r="H292" s="348"/>
      <c r="I292" s="402"/>
    </row>
    <row r="293" spans="2:10" ht="15.75" thickBot="1" x14ac:dyDescent="0.3">
      <c r="B293" s="398"/>
      <c r="C293" s="346" t="s">
        <v>388</v>
      </c>
      <c r="D293" s="399"/>
      <c r="E293" s="406"/>
      <c r="F293" s="407"/>
      <c r="G293" s="349">
        <f>SUM('[1]Planilla Gral'!S139:S139)</f>
        <v>0</v>
      </c>
      <c r="H293" s="348"/>
      <c r="I293" s="402"/>
    </row>
    <row r="294" spans="2:10" x14ac:dyDescent="0.25">
      <c r="B294" s="398"/>
      <c r="C294" s="346" t="s">
        <v>389</v>
      </c>
      <c r="D294" s="399"/>
      <c r="E294" s="406"/>
      <c r="F294" s="407"/>
      <c r="G294" s="408"/>
      <c r="H294" s="348">
        <f>SUM(G291:G293)</f>
        <v>27367.785171268184</v>
      </c>
      <c r="I294" s="402"/>
      <c r="J294" s="239" t="s">
        <v>228</v>
      </c>
    </row>
    <row r="295" spans="2:10" x14ac:dyDescent="0.25">
      <c r="B295" s="398"/>
      <c r="C295" s="350" t="s">
        <v>390</v>
      </c>
      <c r="D295" s="399"/>
      <c r="E295" s="406"/>
      <c r="F295" s="406"/>
      <c r="G295" s="408"/>
      <c r="H295" s="348"/>
      <c r="I295" s="402"/>
    </row>
    <row r="296" spans="2:10" x14ac:dyDescent="0.25">
      <c r="B296" s="398"/>
      <c r="C296" s="360" t="s">
        <v>399</v>
      </c>
      <c r="D296" s="409"/>
      <c r="E296" s="410"/>
      <c r="F296" s="411"/>
      <c r="G296" s="412">
        <f>+'Plla rc iva'!AA14</f>
        <v>786.28</v>
      </c>
      <c r="H296" s="351"/>
      <c r="I296" s="402"/>
    </row>
    <row r="297" spans="2:10" x14ac:dyDescent="0.25">
      <c r="B297" s="398"/>
      <c r="C297" s="360" t="s">
        <v>400</v>
      </c>
      <c r="D297" s="409"/>
      <c r="E297" s="410"/>
      <c r="F297" s="411"/>
      <c r="G297" s="412">
        <f>+'Plla rc iva'!AA36</f>
        <v>546.28</v>
      </c>
      <c r="H297" s="351"/>
      <c r="I297" s="402"/>
    </row>
    <row r="298" spans="2:10" x14ac:dyDescent="0.25">
      <c r="B298" s="398"/>
      <c r="C298" s="346" t="s">
        <v>401</v>
      </c>
      <c r="D298" s="399"/>
      <c r="E298" s="406"/>
      <c r="F298" s="407"/>
      <c r="G298" s="408">
        <f>+'Plla rc iva'!AA61</f>
        <v>346.28</v>
      </c>
      <c r="H298" s="351"/>
      <c r="I298" s="402"/>
      <c r="J298" s="381">
        <f>SUM(G296:G298)</f>
        <v>1678.84</v>
      </c>
    </row>
    <row r="299" spans="2:10" x14ac:dyDescent="0.25">
      <c r="B299" s="398"/>
      <c r="C299" s="346" t="s">
        <v>391</v>
      </c>
      <c r="D299" s="399"/>
      <c r="E299" s="406"/>
      <c r="F299" s="407"/>
      <c r="G299" s="408">
        <f>+'Plla SYS'!P53</f>
        <v>3478.4454952681858</v>
      </c>
      <c r="H299" s="348"/>
      <c r="I299" s="402"/>
    </row>
    <row r="300" spans="2:10" x14ac:dyDescent="0.25">
      <c r="B300" s="398"/>
      <c r="C300" s="346" t="s">
        <v>402</v>
      </c>
      <c r="D300" s="399"/>
      <c r="E300" s="406"/>
      <c r="F300" s="407"/>
      <c r="G300" s="408">
        <f>+'Plla SYS'!Q53</f>
        <v>143.67785171268184</v>
      </c>
      <c r="H300" s="348"/>
      <c r="I300" s="402"/>
    </row>
    <row r="301" spans="2:10" x14ac:dyDescent="0.25">
      <c r="B301" s="398"/>
      <c r="C301" s="346" t="s">
        <v>403</v>
      </c>
      <c r="D301" s="399"/>
      <c r="E301" s="406"/>
      <c r="F301" s="407"/>
      <c r="G301" s="408">
        <f>+'Plla SYS'!R53</f>
        <v>118.38925856340921</v>
      </c>
      <c r="H301" s="348"/>
      <c r="I301" s="402"/>
    </row>
    <row r="302" spans="2:10" x14ac:dyDescent="0.25">
      <c r="B302" s="398"/>
      <c r="C302" s="346" t="s">
        <v>404</v>
      </c>
      <c r="D302" s="399"/>
      <c r="E302" s="406"/>
      <c r="F302" s="407"/>
      <c r="G302" s="408">
        <v>0</v>
      </c>
      <c r="H302" s="348"/>
      <c r="I302" s="402"/>
    </row>
    <row r="303" spans="2:10" x14ac:dyDescent="0.25">
      <c r="B303" s="398"/>
      <c r="C303" s="346" t="s">
        <v>392</v>
      </c>
      <c r="D303" s="399"/>
      <c r="E303" s="406"/>
      <c r="F303" s="407"/>
      <c r="G303" s="408">
        <v>0</v>
      </c>
      <c r="H303" s="348"/>
      <c r="I303" s="402"/>
    </row>
    <row r="304" spans="2:10" ht="15.75" thickBot="1" x14ac:dyDescent="0.3">
      <c r="B304" s="398"/>
      <c r="C304" s="346" t="s">
        <v>393</v>
      </c>
      <c r="D304" s="399"/>
      <c r="E304" s="406"/>
      <c r="F304" s="407"/>
      <c r="G304" s="349">
        <f>'[1]Planilla Gral'!Z139-G303</f>
        <v>0</v>
      </c>
      <c r="H304" s="348"/>
      <c r="I304" s="402"/>
    </row>
    <row r="305" spans="2:9" x14ac:dyDescent="0.25">
      <c r="B305" s="398"/>
      <c r="C305" s="346" t="s">
        <v>394</v>
      </c>
      <c r="D305" s="399"/>
      <c r="E305" s="406"/>
      <c r="F305" s="407"/>
      <c r="G305" s="408"/>
      <c r="H305" s="348">
        <f>SUM(G296:G304)</f>
        <v>5419.3526055442771</v>
      </c>
      <c r="I305" s="402"/>
    </row>
    <row r="306" spans="2:9" ht="15.75" thickBot="1" x14ac:dyDescent="0.3">
      <c r="B306" s="398"/>
      <c r="C306" s="352"/>
      <c r="D306" s="382"/>
      <c r="E306" s="353"/>
      <c r="F306" s="354"/>
      <c r="G306" s="349"/>
      <c r="H306" s="355"/>
      <c r="I306" s="402"/>
    </row>
    <row r="307" spans="2:9" ht="15.75" thickBot="1" x14ac:dyDescent="0.3">
      <c r="B307" s="398"/>
      <c r="C307" s="383"/>
      <c r="D307" s="345"/>
      <c r="E307" s="345"/>
      <c r="F307" s="345"/>
      <c r="G307" s="356"/>
      <c r="H307" s="357">
        <f>+H294-H305</f>
        <v>21948.432565723906</v>
      </c>
      <c r="I307" s="402"/>
    </row>
    <row r="308" spans="2:9" x14ac:dyDescent="0.25">
      <c r="B308" s="398"/>
      <c r="C308" s="413" t="s">
        <v>395</v>
      </c>
      <c r="D308" s="413"/>
      <c r="E308" s="414"/>
      <c r="F308" s="415">
        <f>+'Plla rc iva'!AB61</f>
        <v>0</v>
      </c>
      <c r="G308" s="406"/>
      <c r="H308" s="399"/>
      <c r="I308" s="402"/>
    </row>
    <row r="309" spans="2:9" x14ac:dyDescent="0.25">
      <c r="B309" s="398"/>
      <c r="C309" s="406"/>
      <c r="D309" s="406"/>
      <c r="E309" s="407"/>
      <c r="F309" s="406"/>
      <c r="G309" s="406"/>
      <c r="H309" s="399"/>
      <c r="I309" s="402"/>
    </row>
    <row r="310" spans="2:9" x14ac:dyDescent="0.25">
      <c r="B310" s="398"/>
      <c r="C310" s="406"/>
      <c r="D310" s="406"/>
      <c r="E310" s="407"/>
      <c r="F310" s="406"/>
      <c r="G310" s="416"/>
      <c r="H310" s="417" t="s">
        <v>396</v>
      </c>
      <c r="I310" s="402"/>
    </row>
    <row r="311" spans="2:9" x14ac:dyDescent="0.25">
      <c r="B311" s="398"/>
      <c r="C311" s="406"/>
      <c r="D311" s="406"/>
      <c r="E311" s="407"/>
      <c r="F311" s="406"/>
      <c r="G311" s="406"/>
      <c r="H311" s="399"/>
      <c r="I311" s="402"/>
    </row>
    <row r="312" spans="2:9" x14ac:dyDescent="0.25">
      <c r="B312" s="418"/>
      <c r="C312" s="419"/>
      <c r="D312" s="420"/>
      <c r="E312" s="419"/>
      <c r="F312" s="420"/>
      <c r="G312" s="420"/>
      <c r="H312" s="419"/>
      <c r="I312" s="421"/>
    </row>
    <row r="313" spans="2:9" x14ac:dyDescent="0.25">
      <c r="C313" s="344"/>
      <c r="D313" s="344"/>
      <c r="E313" s="358"/>
      <c r="F313" s="344"/>
      <c r="G313" s="344"/>
    </row>
    <row r="314" spans="2:9" x14ac:dyDescent="0.25">
      <c r="C314" s="344"/>
      <c r="D314" s="344"/>
      <c r="E314" s="358"/>
      <c r="F314" s="344"/>
      <c r="G314" s="344"/>
    </row>
  </sheetData>
  <mergeCells count="3">
    <mergeCell ref="C68:M68"/>
    <mergeCell ref="C71:M71"/>
    <mergeCell ref="C76:M76"/>
  </mergeCells>
  <hyperlinks>
    <hyperlink ref="D66" r:id="rId1" xr:uid="{BBAE8D63-4649-4B2D-8443-35F50F185DB8}"/>
    <hyperlink ref="E69" location="Normativa!A1" display="  --&gt; Volver" xr:uid="{6A8C2A6D-7E38-4CB0-833D-EBB6F168AFDE}"/>
    <hyperlink ref="F22" location="Normativa!A1" display=" &lt; -- VOLVER" xr:uid="{BB03D1B7-F6C6-41F5-86B5-F13D25FA3A59}"/>
    <hyperlink ref="L143" location="'Facilito-OV'!A198" display="Next --&gt;" xr:uid="{EA93E285-0515-4513-8D17-61AE12E0C5F1}"/>
    <hyperlink ref="N183" location="'Facilito-OV'!A254" display="Next--&gt;" xr:uid="{4A44D084-E8D5-4314-99BD-FEDB67300FD5}"/>
    <hyperlink ref="N255" location="AC!I30" display="Volver --&gt;" xr:uid="{CD9FDB8C-7F9B-49C6-A00C-2FDF7CF5FD69}"/>
    <hyperlink ref="J294" location="'Plla SYS'!S44" display="Volver --&gt;" xr:uid="{7CDE631E-F07E-4DC7-9FB5-B5C42BBF5885}"/>
    <hyperlink ref="D74" r:id="rId2" xr:uid="{6E28AAED-553B-4A48-9E28-ED3B353A7DD0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A3FB-A69E-41C7-87F1-790F91910AA6}">
  <dimension ref="B3:K36"/>
  <sheetViews>
    <sheetView showGridLines="0" showRowColHeaders="0" topLeftCell="A22" zoomScale="130" zoomScaleNormal="130" workbookViewId="0">
      <selection activeCell="I36" sqref="I36"/>
    </sheetView>
  </sheetViews>
  <sheetFormatPr baseColWidth="10" defaultRowHeight="20.25" x14ac:dyDescent="0.3"/>
  <cols>
    <col min="1" max="1" width="11.42578125" style="155"/>
    <col min="2" max="2" width="6" style="155" customWidth="1"/>
    <col min="3" max="6" width="11.42578125" style="155"/>
    <col min="7" max="7" width="13.28515625" style="155" bestFit="1" customWidth="1"/>
    <col min="8" max="16384" width="11.42578125" style="155"/>
  </cols>
  <sheetData>
    <row r="3" spans="2:7" x14ac:dyDescent="0.3">
      <c r="B3" s="158" t="s">
        <v>257</v>
      </c>
    </row>
    <row r="5" spans="2:7" x14ac:dyDescent="0.3">
      <c r="B5" s="155" t="s">
        <v>153</v>
      </c>
      <c r="C5" s="156" t="s">
        <v>435</v>
      </c>
    </row>
    <row r="6" spans="2:7" x14ac:dyDescent="0.3">
      <c r="C6" s="156" t="s">
        <v>471</v>
      </c>
    </row>
    <row r="7" spans="2:7" x14ac:dyDescent="0.3">
      <c r="C7" s="156" t="s">
        <v>158</v>
      </c>
    </row>
    <row r="8" spans="2:7" x14ac:dyDescent="0.3">
      <c r="B8" s="155" t="s">
        <v>299</v>
      </c>
      <c r="C8" s="156" t="s">
        <v>525</v>
      </c>
    </row>
    <row r="9" spans="2:7" x14ac:dyDescent="0.3">
      <c r="C9" s="156" t="s">
        <v>524</v>
      </c>
      <c r="G9" s="156"/>
    </row>
    <row r="10" spans="2:7" x14ac:dyDescent="0.3">
      <c r="C10" s="157"/>
    </row>
    <row r="11" spans="2:7" x14ac:dyDescent="0.3">
      <c r="C11" s="156" t="s">
        <v>163</v>
      </c>
    </row>
    <row r="12" spans="2:7" x14ac:dyDescent="0.3">
      <c r="C12" s="156" t="s">
        <v>227</v>
      </c>
    </row>
    <row r="14" spans="2:7" x14ac:dyDescent="0.3">
      <c r="C14" s="156" t="s">
        <v>158</v>
      </c>
    </row>
    <row r="15" spans="2:7" x14ac:dyDescent="0.3">
      <c r="B15" s="155" t="s">
        <v>154</v>
      </c>
      <c r="C15" s="156" t="s">
        <v>164</v>
      </c>
    </row>
    <row r="16" spans="2:7" x14ac:dyDescent="0.3">
      <c r="C16" s="156" t="s">
        <v>159</v>
      </c>
    </row>
    <row r="17" spans="2:10" x14ac:dyDescent="0.3">
      <c r="C17" s="156" t="s">
        <v>160</v>
      </c>
    </row>
    <row r="18" spans="2:10" x14ac:dyDescent="0.3">
      <c r="C18" s="156" t="s">
        <v>161</v>
      </c>
    </row>
    <row r="19" spans="2:10" x14ac:dyDescent="0.3">
      <c r="C19" s="155" t="s">
        <v>158</v>
      </c>
    </row>
    <row r="20" spans="2:10" x14ac:dyDescent="0.3">
      <c r="C20" s="156" t="s">
        <v>229</v>
      </c>
    </row>
    <row r="21" spans="2:10" x14ac:dyDescent="0.3">
      <c r="C21" s="156" t="s">
        <v>285</v>
      </c>
    </row>
    <row r="22" spans="2:10" x14ac:dyDescent="0.3">
      <c r="C22" s="156" t="s">
        <v>158</v>
      </c>
    </row>
    <row r="23" spans="2:10" x14ac:dyDescent="0.3">
      <c r="C23" s="156" t="s">
        <v>165</v>
      </c>
    </row>
    <row r="24" spans="2:10" x14ac:dyDescent="0.3">
      <c r="C24" s="156"/>
    </row>
    <row r="25" spans="2:10" x14ac:dyDescent="0.3">
      <c r="B25" s="155" t="s">
        <v>155</v>
      </c>
      <c r="C25" s="156" t="s">
        <v>301</v>
      </c>
    </row>
    <row r="26" spans="2:10" x14ac:dyDescent="0.3">
      <c r="C26" s="156" t="s">
        <v>375</v>
      </c>
    </row>
    <row r="28" spans="2:10" x14ac:dyDescent="0.3">
      <c r="B28" s="155" t="s">
        <v>156</v>
      </c>
      <c r="C28" s="156" t="s">
        <v>162</v>
      </c>
    </row>
    <row r="29" spans="2:10" x14ac:dyDescent="0.3">
      <c r="C29" s="156" t="s">
        <v>526</v>
      </c>
    </row>
    <row r="30" spans="2:10" x14ac:dyDescent="0.3">
      <c r="C30" s="157" t="s">
        <v>497</v>
      </c>
      <c r="I30" s="338" t="s">
        <v>376</v>
      </c>
      <c r="J30" s="340"/>
    </row>
    <row r="32" spans="2:10" x14ac:dyDescent="0.3">
      <c r="B32" s="155" t="s">
        <v>300</v>
      </c>
      <c r="C32" s="156" t="s">
        <v>529</v>
      </c>
    </row>
    <row r="33" spans="2:11" x14ac:dyDescent="0.3">
      <c r="C33" s="156" t="s">
        <v>527</v>
      </c>
    </row>
    <row r="34" spans="2:11" x14ac:dyDescent="0.3">
      <c r="C34" s="156" t="s">
        <v>528</v>
      </c>
    </row>
    <row r="36" spans="2:11" x14ac:dyDescent="0.3">
      <c r="B36" s="155" t="s">
        <v>302</v>
      </c>
      <c r="C36" s="156" t="s">
        <v>309</v>
      </c>
      <c r="I36" s="338" t="s">
        <v>436</v>
      </c>
      <c r="J36" s="341"/>
      <c r="K36" s="341"/>
    </row>
  </sheetData>
  <hyperlinks>
    <hyperlink ref="I30" location="'Facilito-OV'!A145" display="ir a MEYF guía--&gt;" xr:uid="{77CA43A0-D979-4B48-BE63-B441F6FF6181}"/>
    <hyperlink ref="I36" location="'Plla rc iva'!N1" display="Forward --&gt; Práctica" xr:uid="{9D9572F3-4208-44B7-BFC5-9FB477C8837C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C924-AE59-453C-8C6A-8C6F102D1886}">
  <dimension ref="A1:AH985"/>
  <sheetViews>
    <sheetView showGridLines="0" topLeftCell="P4" zoomScale="85" zoomScaleNormal="85" workbookViewId="0">
      <selection activeCell="AC9" sqref="AC9"/>
    </sheetView>
  </sheetViews>
  <sheetFormatPr baseColWidth="10" defaultColWidth="14.42578125" defaultRowHeight="15" outlineLevelRow="1" outlineLevelCol="1" x14ac:dyDescent="0.25"/>
  <cols>
    <col min="1" max="1" width="3.5703125" customWidth="1"/>
    <col min="2" max="3" width="6.7109375" customWidth="1"/>
    <col min="4" max="4" width="11.42578125" customWidth="1"/>
    <col min="5" max="5" width="8.85546875" customWidth="1"/>
    <col min="6" max="6" width="8.7109375" customWidth="1"/>
    <col min="7" max="7" width="9.28515625" customWidth="1"/>
    <col min="8" max="8" width="10.42578125" customWidth="1"/>
    <col min="9" max="9" width="8.5703125" customWidth="1"/>
    <col min="10" max="10" width="10.85546875" customWidth="1"/>
    <col min="11" max="13" width="10.85546875" hidden="1" customWidth="1" outlineLevel="1"/>
    <col min="14" max="14" width="12.140625" customWidth="1" collapsed="1"/>
    <col min="15" max="15" width="10.7109375" customWidth="1"/>
    <col min="16" max="16" width="11" customWidth="1"/>
    <col min="17" max="18" width="9.140625" customWidth="1"/>
    <col min="19" max="19" width="10.140625" customWidth="1"/>
    <col min="20" max="22" width="9.140625" customWidth="1"/>
    <col min="23" max="23" width="11.7109375" customWidth="1"/>
    <col min="24" max="24" width="11.28515625" customWidth="1"/>
    <col min="25" max="25" width="11.5703125" customWidth="1"/>
    <col min="26" max="26" width="11.7109375" customWidth="1"/>
    <col min="27" max="27" width="10.7109375" customWidth="1"/>
    <col min="28" max="28" width="11.5703125" customWidth="1"/>
    <col min="29" max="30" width="9.140625" customWidth="1"/>
    <col min="31" max="31" width="13.140625" customWidth="1"/>
    <col min="34" max="34" width="13.140625" customWidth="1"/>
  </cols>
  <sheetData>
    <row r="1" spans="1:34" x14ac:dyDescent="0.25">
      <c r="B1" s="1" t="s">
        <v>414</v>
      </c>
      <c r="AE1" t="s">
        <v>226</v>
      </c>
    </row>
    <row r="2" spans="1:34" x14ac:dyDescent="0.25">
      <c r="B2" s="2" t="s">
        <v>86</v>
      </c>
      <c r="Y2" s="1" t="s">
        <v>0</v>
      </c>
      <c r="Z2" s="3">
        <v>2.3408600000000002</v>
      </c>
      <c r="AA2" s="319">
        <v>43921</v>
      </c>
      <c r="AB2" s="320" t="str">
        <f>TEXT((WEEKDAY(AA2)),"dddd")</f>
        <v>martes</v>
      </c>
      <c r="AE2" t="s">
        <v>225</v>
      </c>
    </row>
    <row r="3" spans="1:34" x14ac:dyDescent="0.25">
      <c r="B3" t="s">
        <v>1</v>
      </c>
      <c r="Y3" s="1" t="s">
        <v>2</v>
      </c>
      <c r="Z3" s="3">
        <v>2.3434599999999999</v>
      </c>
      <c r="AA3" s="319">
        <v>43951</v>
      </c>
      <c r="AB3" s="320" t="str">
        <f>TEXT((WEEKDAY(AA3)),"dddd")</f>
        <v>jueves</v>
      </c>
    </row>
    <row r="4" spans="1:34" ht="15.75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3</v>
      </c>
      <c r="P4" s="4"/>
      <c r="Q4" s="6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4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 t="s">
        <v>79</v>
      </c>
      <c r="P5" s="4"/>
      <c r="Q5" s="4"/>
      <c r="R5" s="4"/>
      <c r="S5" s="4"/>
      <c r="T5" s="4"/>
      <c r="U5" s="4"/>
      <c r="V5" s="4"/>
      <c r="W5" s="4"/>
      <c r="X5" s="4"/>
      <c r="Y5" s="8" t="s">
        <v>4</v>
      </c>
      <c r="Z5" s="9">
        <v>2122</v>
      </c>
      <c r="AA5" s="4"/>
      <c r="AB5" s="4"/>
    </row>
    <row r="6" spans="1:34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 t="s">
        <v>5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E6" s="31" t="s">
        <v>157</v>
      </c>
    </row>
    <row r="7" spans="1:34" x14ac:dyDescent="0.25">
      <c r="AE7" s="162">
        <v>44002</v>
      </c>
      <c r="AF7" s="163" t="s">
        <v>166</v>
      </c>
    </row>
    <row r="8" spans="1:34" ht="49.5" customHeight="1" outlineLevel="1" x14ac:dyDescent="0.25">
      <c r="B8" s="10" t="s">
        <v>6</v>
      </c>
      <c r="C8" s="10" t="s">
        <v>7</v>
      </c>
      <c r="D8" s="11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42" t="s">
        <v>415</v>
      </c>
      <c r="L8" s="42" t="s">
        <v>415</v>
      </c>
      <c r="M8" s="42" t="s">
        <v>415</v>
      </c>
      <c r="N8" s="10" t="s">
        <v>15</v>
      </c>
      <c r="O8" s="10" t="s">
        <v>16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39" t="s">
        <v>28</v>
      </c>
      <c r="AB8" s="246" t="s">
        <v>29</v>
      </c>
      <c r="AC8" s="12"/>
      <c r="AD8" s="12"/>
      <c r="AE8" s="154" t="s">
        <v>21</v>
      </c>
    </row>
    <row r="9" spans="1:34" s="13" customFormat="1" ht="37.5" customHeight="1" outlineLevel="1" x14ac:dyDescent="0.25">
      <c r="B9" s="14" t="s">
        <v>30</v>
      </c>
      <c r="C9" s="14" t="s">
        <v>31</v>
      </c>
      <c r="D9" s="14" t="s">
        <v>32</v>
      </c>
      <c r="E9" s="14" t="s">
        <v>33</v>
      </c>
      <c r="F9" s="14" t="s">
        <v>34</v>
      </c>
      <c r="G9" s="14" t="s">
        <v>35</v>
      </c>
      <c r="H9" s="14" t="s">
        <v>36</v>
      </c>
      <c r="I9" s="14" t="s">
        <v>37</v>
      </c>
      <c r="J9" s="14" t="s">
        <v>38</v>
      </c>
      <c r="K9" s="14"/>
      <c r="L9" s="14"/>
      <c r="M9" s="14"/>
      <c r="N9" s="14" t="s">
        <v>39</v>
      </c>
      <c r="O9" s="14" t="s">
        <v>40</v>
      </c>
      <c r="P9" s="14" t="s">
        <v>41</v>
      </c>
      <c r="Q9" s="14" t="s">
        <v>42</v>
      </c>
      <c r="R9" s="14" t="s">
        <v>43</v>
      </c>
      <c r="S9" s="14" t="s">
        <v>44</v>
      </c>
      <c r="T9" s="14" t="s">
        <v>45</v>
      </c>
      <c r="U9" s="14" t="s">
        <v>46</v>
      </c>
      <c r="V9" s="14" t="s">
        <v>47</v>
      </c>
      <c r="W9" s="14" t="s">
        <v>48</v>
      </c>
      <c r="X9" s="14" t="s">
        <v>49</v>
      </c>
      <c r="Y9" s="14" t="s">
        <v>50</v>
      </c>
      <c r="Z9" s="14" t="s">
        <v>51</v>
      </c>
      <c r="AA9" s="14" t="s">
        <v>52</v>
      </c>
      <c r="AB9" s="14" t="s">
        <v>53</v>
      </c>
      <c r="AC9" s="540" t="s">
        <v>225</v>
      </c>
      <c r="AH9"/>
    </row>
    <row r="10" spans="1:34" outlineLevel="1" x14ac:dyDescent="0.25">
      <c r="A10" s="5">
        <v>1</v>
      </c>
      <c r="B10" s="15">
        <v>2020</v>
      </c>
      <c r="C10" s="15">
        <v>4</v>
      </c>
      <c r="D10" s="16">
        <v>4380924010</v>
      </c>
      <c r="E10" s="17" t="s">
        <v>151</v>
      </c>
      <c r="F10" s="17" t="s">
        <v>152</v>
      </c>
      <c r="G10" s="17" t="s">
        <v>56</v>
      </c>
      <c r="H10" s="17">
        <v>4380924</v>
      </c>
      <c r="I10" s="18" t="s">
        <v>57</v>
      </c>
      <c r="J10" s="15" t="s">
        <v>58</v>
      </c>
      <c r="K10" s="32"/>
      <c r="L10" s="32"/>
      <c r="M10" s="32"/>
      <c r="N10" s="19">
        <v>11000</v>
      </c>
      <c r="O10" s="19">
        <f>IF(N10&gt;($Z$5*2),$Z$5*2,N10)</f>
        <v>4244</v>
      </c>
      <c r="P10" s="20">
        <f t="shared" ref="P10:P19" si="0">IF(N10&gt;O10,N10-O10,0)</f>
        <v>6756</v>
      </c>
      <c r="Q10" s="20">
        <f t="shared" ref="Q10:Q19" si="1">ROUND(P10*13%,0)</f>
        <v>878</v>
      </c>
      <c r="R10" s="21">
        <f t="shared" ref="R10:R16" si="2">IF(Q10&lt;($Z$5*2*0.13),Q10,$Z$5*2*0.13)</f>
        <v>551.72</v>
      </c>
      <c r="S10" s="20">
        <f t="shared" ref="S10:S19" si="3">IF(Q10&gt;R10,Q10-R10,0)</f>
        <v>326.27999999999997</v>
      </c>
      <c r="T10" s="538">
        <f>IF($AC$9=$AE$1,AE10,0)</f>
        <v>0</v>
      </c>
      <c r="U10" s="20">
        <f t="shared" ref="U10:U19" si="4">IF(S10&gt;T10,S10-T10,0)</f>
        <v>326.27999999999997</v>
      </c>
      <c r="V10" s="20">
        <f t="shared" ref="V10:V19" si="5">IF(T10&gt;S10,T10-S10,0)</f>
        <v>0</v>
      </c>
      <c r="W10" s="20">
        <v>45</v>
      </c>
      <c r="X10" s="20">
        <f t="shared" ref="X10:X19" si="6">ROUND(W10*($Z$3/$Z$2-1),0)</f>
        <v>0</v>
      </c>
      <c r="Y10" s="20">
        <f t="shared" ref="Y10:Y19" si="7">W10+X10</f>
        <v>45</v>
      </c>
      <c r="Z10" s="20">
        <f t="shared" ref="Z10:Z19" si="8">IF(Y10&lt;=U10,Y10,U10)</f>
        <v>45</v>
      </c>
      <c r="AA10" s="534">
        <f>IF(U10&gt;=Z10,U10-Z10,0)</f>
        <v>281.27999999999997</v>
      </c>
      <c r="AB10" s="20">
        <f t="shared" ref="AB10:AB19" si="9">IF((V10+Y10)&gt;Z10,(V10+Y10)-Z10,0)</f>
        <v>0</v>
      </c>
      <c r="AE10" s="19">
        <v>281</v>
      </c>
    </row>
    <row r="11" spans="1:34" outlineLevel="1" x14ac:dyDescent="0.25">
      <c r="A11" s="5">
        <v>2</v>
      </c>
      <c r="B11" s="22">
        <f>+B10</f>
        <v>2020</v>
      </c>
      <c r="C11" s="22">
        <f>+C10</f>
        <v>4</v>
      </c>
      <c r="D11" s="23">
        <v>3887474011</v>
      </c>
      <c r="E11" s="24" t="s">
        <v>59</v>
      </c>
      <c r="F11" s="24" t="s">
        <v>60</v>
      </c>
      <c r="G11" s="24" t="s">
        <v>60</v>
      </c>
      <c r="H11" s="24">
        <v>3887474</v>
      </c>
      <c r="I11" s="22" t="s">
        <v>57</v>
      </c>
      <c r="J11" s="22" t="s">
        <v>61</v>
      </c>
      <c r="K11" s="32"/>
      <c r="L11" s="32"/>
      <c r="M11" s="32"/>
      <c r="N11" s="20">
        <v>3500</v>
      </c>
      <c r="O11" s="25">
        <f t="shared" ref="O11:O17" si="10">IF(N11&gt;($Z$5*2),$Z$5*2,N11)</f>
        <v>3500</v>
      </c>
      <c r="P11" s="25">
        <f t="shared" si="0"/>
        <v>0</v>
      </c>
      <c r="Q11" s="25">
        <f t="shared" si="1"/>
        <v>0</v>
      </c>
      <c r="R11" s="25">
        <f t="shared" si="2"/>
        <v>0</v>
      </c>
      <c r="S11" s="25">
        <f t="shared" si="3"/>
        <v>0</v>
      </c>
      <c r="T11" s="539">
        <f>IF($AC$9=$AE$1,AE11,0)</f>
        <v>0</v>
      </c>
      <c r="U11" s="25">
        <f t="shared" si="4"/>
        <v>0</v>
      </c>
      <c r="V11" s="25">
        <f t="shared" si="5"/>
        <v>0</v>
      </c>
      <c r="W11" s="25">
        <v>30</v>
      </c>
      <c r="X11" s="25">
        <f t="shared" si="6"/>
        <v>0</v>
      </c>
      <c r="Y11" s="25">
        <f t="shared" si="7"/>
        <v>30</v>
      </c>
      <c r="Z11" s="25">
        <f t="shared" si="8"/>
        <v>0</v>
      </c>
      <c r="AA11" s="535">
        <f t="shared" ref="AA11:AA19" si="11">IF(U11&gt;=Z11,U11-Z11,0)</f>
        <v>0</v>
      </c>
      <c r="AB11" s="25">
        <f>IF((V11+Y11)&gt;Z11,(V11+Y11)-Z11,0)</f>
        <v>30</v>
      </c>
      <c r="AE11" s="25"/>
    </row>
    <row r="12" spans="1:34" s="38" customFormat="1" outlineLevel="1" x14ac:dyDescent="0.25">
      <c r="A12" s="5">
        <v>3</v>
      </c>
      <c r="B12" s="32">
        <f t="shared" ref="B12:B17" si="12">+B11</f>
        <v>2020</v>
      </c>
      <c r="C12" s="32">
        <f>+C11</f>
        <v>4</v>
      </c>
      <c r="D12" s="33">
        <v>4570616017</v>
      </c>
      <c r="E12" s="34" t="s">
        <v>62</v>
      </c>
      <c r="F12" s="34" t="s">
        <v>63</v>
      </c>
      <c r="G12" s="34" t="s">
        <v>64</v>
      </c>
      <c r="H12" s="34">
        <v>2345678</v>
      </c>
      <c r="I12" s="35" t="s">
        <v>57</v>
      </c>
      <c r="J12" s="32" t="s">
        <v>58</v>
      </c>
      <c r="K12" s="32"/>
      <c r="L12" s="32"/>
      <c r="M12" s="32"/>
      <c r="N12" s="36">
        <v>7000</v>
      </c>
      <c r="O12" s="36">
        <v>0</v>
      </c>
      <c r="P12" s="36">
        <f t="shared" si="0"/>
        <v>7000</v>
      </c>
      <c r="Q12" s="36">
        <f t="shared" si="1"/>
        <v>910</v>
      </c>
      <c r="R12" s="25">
        <f t="shared" si="2"/>
        <v>551.72</v>
      </c>
      <c r="S12" s="36">
        <f t="shared" si="3"/>
        <v>358.28</v>
      </c>
      <c r="T12" s="539">
        <f t="shared" ref="T12:T19" si="13">IF($AC$9=$AE$1,AE12,0)</f>
        <v>0</v>
      </c>
      <c r="U12" s="36">
        <f t="shared" si="4"/>
        <v>358.28</v>
      </c>
      <c r="V12" s="36">
        <f t="shared" si="5"/>
        <v>0</v>
      </c>
      <c r="W12" s="37">
        <v>800</v>
      </c>
      <c r="X12" s="36">
        <f t="shared" si="6"/>
        <v>1</v>
      </c>
      <c r="Y12" s="36">
        <f t="shared" si="7"/>
        <v>801</v>
      </c>
      <c r="Z12" s="36">
        <f t="shared" si="8"/>
        <v>358.28</v>
      </c>
      <c r="AA12" s="535">
        <f t="shared" si="11"/>
        <v>0</v>
      </c>
      <c r="AB12" s="36">
        <f>IF((V12+Y12)&gt;Z12,(V12+Y12)-Z12,0)</f>
        <v>442.72</v>
      </c>
      <c r="AE12" s="36"/>
      <c r="AH12"/>
    </row>
    <row r="13" spans="1:34" outlineLevel="1" x14ac:dyDescent="0.25">
      <c r="A13" s="5">
        <v>4</v>
      </c>
      <c r="B13" s="22">
        <f t="shared" si="12"/>
        <v>2020</v>
      </c>
      <c r="C13" s="22">
        <f>+C12</f>
        <v>4</v>
      </c>
      <c r="D13" s="23">
        <v>4466790012</v>
      </c>
      <c r="E13" s="24" t="s">
        <v>65</v>
      </c>
      <c r="F13" s="24" t="s">
        <v>66</v>
      </c>
      <c r="G13" s="24" t="s">
        <v>67</v>
      </c>
      <c r="H13" s="24">
        <v>4466790</v>
      </c>
      <c r="I13" s="22" t="s">
        <v>57</v>
      </c>
      <c r="J13" s="22" t="s">
        <v>58</v>
      </c>
      <c r="K13" s="22"/>
      <c r="L13" s="22"/>
      <c r="M13" s="22"/>
      <c r="N13" s="25">
        <v>12000</v>
      </c>
      <c r="O13" s="25">
        <f t="shared" si="10"/>
        <v>4244</v>
      </c>
      <c r="P13" s="25">
        <f t="shared" si="0"/>
        <v>7756</v>
      </c>
      <c r="Q13" s="25">
        <f t="shared" si="1"/>
        <v>1008</v>
      </c>
      <c r="R13" s="25">
        <f t="shared" si="2"/>
        <v>551.72</v>
      </c>
      <c r="S13" s="25">
        <f t="shared" si="3"/>
        <v>456.28</v>
      </c>
      <c r="T13" s="539">
        <f t="shared" si="13"/>
        <v>0</v>
      </c>
      <c r="U13" s="25">
        <f t="shared" si="4"/>
        <v>456.28</v>
      </c>
      <c r="V13" s="25">
        <f t="shared" si="5"/>
        <v>0</v>
      </c>
      <c r="W13" s="25">
        <v>100</v>
      </c>
      <c r="X13" s="25">
        <f t="shared" si="6"/>
        <v>0</v>
      </c>
      <c r="Y13" s="25">
        <f t="shared" si="7"/>
        <v>100</v>
      </c>
      <c r="Z13" s="25">
        <f t="shared" si="8"/>
        <v>100</v>
      </c>
      <c r="AA13" s="535">
        <f t="shared" si="11"/>
        <v>356.28</v>
      </c>
      <c r="AB13" s="25">
        <f t="shared" si="9"/>
        <v>0</v>
      </c>
      <c r="AE13" s="25">
        <v>100</v>
      </c>
    </row>
    <row r="14" spans="1:34" outlineLevel="1" x14ac:dyDescent="0.25">
      <c r="A14" s="5">
        <v>5</v>
      </c>
      <c r="B14" s="22">
        <f t="shared" si="12"/>
        <v>2020</v>
      </c>
      <c r="C14" s="22">
        <f t="shared" ref="C14:C17" si="14">+C13</f>
        <v>4</v>
      </c>
      <c r="D14" s="23">
        <v>4466791013</v>
      </c>
      <c r="E14" s="24" t="s">
        <v>68</v>
      </c>
      <c r="F14" s="24" t="s">
        <v>60</v>
      </c>
      <c r="G14" s="24" t="s">
        <v>69</v>
      </c>
      <c r="H14" s="24">
        <v>4466791</v>
      </c>
      <c r="I14" s="22" t="s">
        <v>57</v>
      </c>
      <c r="J14" s="22" t="s">
        <v>58</v>
      </c>
      <c r="K14" s="22"/>
      <c r="L14" s="22"/>
      <c r="M14" s="22"/>
      <c r="N14" s="25">
        <v>15000</v>
      </c>
      <c r="O14" s="25">
        <f t="shared" si="10"/>
        <v>4244</v>
      </c>
      <c r="P14" s="25">
        <f t="shared" si="0"/>
        <v>10756</v>
      </c>
      <c r="Q14" s="25">
        <f t="shared" si="1"/>
        <v>1398</v>
      </c>
      <c r="R14" s="25">
        <f t="shared" si="2"/>
        <v>551.72</v>
      </c>
      <c r="S14" s="25">
        <f t="shared" si="3"/>
        <v>846.28</v>
      </c>
      <c r="T14" s="539">
        <f t="shared" si="13"/>
        <v>0</v>
      </c>
      <c r="U14" s="25">
        <f t="shared" si="4"/>
        <v>846.28</v>
      </c>
      <c r="V14" s="25">
        <f t="shared" si="5"/>
        <v>0</v>
      </c>
      <c r="W14" s="25">
        <v>60</v>
      </c>
      <c r="X14" s="25">
        <f t="shared" si="6"/>
        <v>0</v>
      </c>
      <c r="Y14" s="25">
        <f t="shared" si="7"/>
        <v>60</v>
      </c>
      <c r="Z14" s="25">
        <f t="shared" si="8"/>
        <v>60</v>
      </c>
      <c r="AA14" s="535">
        <f t="shared" si="11"/>
        <v>786.28</v>
      </c>
      <c r="AB14" s="25">
        <f t="shared" si="9"/>
        <v>0</v>
      </c>
      <c r="AE14" s="25">
        <v>500</v>
      </c>
    </row>
    <row r="15" spans="1:34" outlineLevel="1" x14ac:dyDescent="0.25">
      <c r="A15" s="5">
        <v>6</v>
      </c>
      <c r="B15" s="22">
        <f t="shared" si="12"/>
        <v>2020</v>
      </c>
      <c r="C15" s="22">
        <f t="shared" si="14"/>
        <v>4</v>
      </c>
      <c r="D15" s="23">
        <v>4466792010</v>
      </c>
      <c r="E15" s="24" t="s">
        <v>70</v>
      </c>
      <c r="F15" s="24" t="s">
        <v>71</v>
      </c>
      <c r="G15" s="24" t="s">
        <v>72</v>
      </c>
      <c r="H15" s="24">
        <v>4466792</v>
      </c>
      <c r="I15" s="22" t="s">
        <v>57</v>
      </c>
      <c r="J15" s="22" t="s">
        <v>58</v>
      </c>
      <c r="K15" s="22"/>
      <c r="L15" s="22"/>
      <c r="M15" s="22"/>
      <c r="N15" s="25">
        <v>22000</v>
      </c>
      <c r="O15" s="25">
        <f t="shared" si="10"/>
        <v>4244</v>
      </c>
      <c r="P15" s="25">
        <f t="shared" si="0"/>
        <v>17756</v>
      </c>
      <c r="Q15" s="25">
        <f t="shared" si="1"/>
        <v>2308</v>
      </c>
      <c r="R15" s="25">
        <f t="shared" si="2"/>
        <v>551.72</v>
      </c>
      <c r="S15" s="25">
        <f t="shared" si="3"/>
        <v>1756.28</v>
      </c>
      <c r="T15" s="539">
        <f t="shared" si="13"/>
        <v>0</v>
      </c>
      <c r="U15" s="25">
        <f t="shared" si="4"/>
        <v>1756.28</v>
      </c>
      <c r="V15" s="25">
        <f t="shared" si="5"/>
        <v>0</v>
      </c>
      <c r="W15" s="25">
        <v>2000</v>
      </c>
      <c r="X15" s="25">
        <f>ROUND(W15*($Z$3/$Z$2-1),0)</f>
        <v>2</v>
      </c>
      <c r="Y15" s="25">
        <f t="shared" si="7"/>
        <v>2002</v>
      </c>
      <c r="Z15" s="25">
        <f t="shared" si="8"/>
        <v>1756.28</v>
      </c>
      <c r="AA15" s="535">
        <f t="shared" si="11"/>
        <v>0</v>
      </c>
      <c r="AB15" s="25">
        <f t="shared" si="9"/>
        <v>245.72000000000003</v>
      </c>
      <c r="AE15" s="25"/>
    </row>
    <row r="16" spans="1:34" outlineLevel="1" x14ac:dyDescent="0.25">
      <c r="A16" s="5">
        <v>7</v>
      </c>
      <c r="B16" s="22">
        <f t="shared" si="12"/>
        <v>2020</v>
      </c>
      <c r="C16" s="22">
        <f t="shared" si="14"/>
        <v>4</v>
      </c>
      <c r="D16" s="23">
        <v>4466793017</v>
      </c>
      <c r="E16" s="24" t="s">
        <v>73</v>
      </c>
      <c r="F16" s="24" t="s">
        <v>72</v>
      </c>
      <c r="G16" s="24" t="s">
        <v>72</v>
      </c>
      <c r="H16" s="24">
        <v>4466793</v>
      </c>
      <c r="I16" s="22" t="s">
        <v>57</v>
      </c>
      <c r="J16" s="22" t="s">
        <v>58</v>
      </c>
      <c r="K16" s="22"/>
      <c r="L16" s="22"/>
      <c r="M16" s="22"/>
      <c r="N16" s="25">
        <v>18000</v>
      </c>
      <c r="O16" s="25">
        <f t="shared" si="10"/>
        <v>4244</v>
      </c>
      <c r="P16" s="25">
        <f t="shared" si="0"/>
        <v>13756</v>
      </c>
      <c r="Q16" s="25">
        <f t="shared" si="1"/>
        <v>1788</v>
      </c>
      <c r="R16" s="25">
        <f t="shared" si="2"/>
        <v>551.72</v>
      </c>
      <c r="S16" s="25">
        <f t="shared" si="3"/>
        <v>1236.28</v>
      </c>
      <c r="T16" s="539">
        <f t="shared" si="13"/>
        <v>0</v>
      </c>
      <c r="U16" s="25">
        <f t="shared" si="4"/>
        <v>1236.28</v>
      </c>
      <c r="V16" s="25">
        <f t="shared" si="5"/>
        <v>0</v>
      </c>
      <c r="W16" s="25">
        <v>0</v>
      </c>
      <c r="X16" s="25">
        <f t="shared" si="6"/>
        <v>0</v>
      </c>
      <c r="Y16" s="25">
        <f t="shared" si="7"/>
        <v>0</v>
      </c>
      <c r="Z16" s="25">
        <f t="shared" si="8"/>
        <v>0</v>
      </c>
      <c r="AA16" s="535">
        <f t="shared" si="11"/>
        <v>1236.28</v>
      </c>
      <c r="AB16" s="25">
        <f t="shared" si="9"/>
        <v>0</v>
      </c>
      <c r="AE16" s="25">
        <v>1200</v>
      </c>
    </row>
    <row r="17" spans="1:34" outlineLevel="1" x14ac:dyDescent="0.25">
      <c r="A17" s="5">
        <v>8</v>
      </c>
      <c r="B17" s="22">
        <f t="shared" si="12"/>
        <v>2020</v>
      </c>
      <c r="C17" s="22">
        <f t="shared" si="14"/>
        <v>4</v>
      </c>
      <c r="D17" s="23">
        <v>4466795019</v>
      </c>
      <c r="E17" s="24" t="s">
        <v>74</v>
      </c>
      <c r="F17" s="24" t="s">
        <v>75</v>
      </c>
      <c r="G17" s="24" t="s">
        <v>76</v>
      </c>
      <c r="H17" s="24">
        <v>4466795</v>
      </c>
      <c r="I17" s="22" t="s">
        <v>57</v>
      </c>
      <c r="J17" s="22" t="s">
        <v>58</v>
      </c>
      <c r="K17" s="22"/>
      <c r="L17" s="22"/>
      <c r="M17" s="22"/>
      <c r="N17" s="25">
        <v>8000</v>
      </c>
      <c r="O17" s="25">
        <f t="shared" si="10"/>
        <v>4244</v>
      </c>
      <c r="P17" s="25">
        <f t="shared" si="0"/>
        <v>3756</v>
      </c>
      <c r="Q17" s="25">
        <f t="shared" si="1"/>
        <v>488</v>
      </c>
      <c r="R17" s="25">
        <f>IF(Q17&lt;($Z$5*2*0.13),Q17,$Z$5*2*0.13)</f>
        <v>488</v>
      </c>
      <c r="S17" s="25">
        <f t="shared" si="3"/>
        <v>0</v>
      </c>
      <c r="T17" s="539">
        <f t="shared" si="13"/>
        <v>0</v>
      </c>
      <c r="U17" s="25">
        <f t="shared" si="4"/>
        <v>0</v>
      </c>
      <c r="V17" s="25">
        <f t="shared" si="5"/>
        <v>0</v>
      </c>
      <c r="W17" s="25">
        <v>0</v>
      </c>
      <c r="X17" s="25">
        <f t="shared" si="6"/>
        <v>0</v>
      </c>
      <c r="Y17" s="25">
        <f t="shared" si="7"/>
        <v>0</v>
      </c>
      <c r="Z17" s="25">
        <f t="shared" si="8"/>
        <v>0</v>
      </c>
      <c r="AA17" s="535">
        <f t="shared" si="11"/>
        <v>0</v>
      </c>
      <c r="AB17" s="25">
        <f t="shared" si="9"/>
        <v>0</v>
      </c>
      <c r="AE17" s="25"/>
    </row>
    <row r="18" spans="1:34" outlineLevel="1" x14ac:dyDescent="0.25">
      <c r="B18" s="22"/>
      <c r="C18" s="2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v>0</v>
      </c>
      <c r="O18" s="25"/>
      <c r="P18" s="25">
        <f t="shared" si="0"/>
        <v>0</v>
      </c>
      <c r="Q18" s="25">
        <f t="shared" si="1"/>
        <v>0</v>
      </c>
      <c r="R18" s="25"/>
      <c r="S18" s="25">
        <f t="shared" si="3"/>
        <v>0</v>
      </c>
      <c r="T18" s="539">
        <f t="shared" si="13"/>
        <v>0</v>
      </c>
      <c r="U18" s="25">
        <f t="shared" si="4"/>
        <v>0</v>
      </c>
      <c r="V18" s="25">
        <f t="shared" si="5"/>
        <v>0</v>
      </c>
      <c r="W18" s="25">
        <v>0</v>
      </c>
      <c r="X18" s="25">
        <f t="shared" si="6"/>
        <v>0</v>
      </c>
      <c r="Y18" s="25">
        <f t="shared" si="7"/>
        <v>0</v>
      </c>
      <c r="Z18" s="25">
        <f t="shared" si="8"/>
        <v>0</v>
      </c>
      <c r="AA18" s="535">
        <f t="shared" si="11"/>
        <v>0</v>
      </c>
      <c r="AB18" s="25">
        <f t="shared" si="9"/>
        <v>0</v>
      </c>
      <c r="AE18" s="25"/>
    </row>
    <row r="19" spans="1:34" outlineLevel="1" x14ac:dyDescent="0.25"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>
        <v>0</v>
      </c>
      <c r="O19" s="28"/>
      <c r="P19" s="28">
        <f t="shared" si="0"/>
        <v>0</v>
      </c>
      <c r="Q19" s="28">
        <f t="shared" si="1"/>
        <v>0</v>
      </c>
      <c r="R19" s="28"/>
      <c r="S19" s="28">
        <f t="shared" si="3"/>
        <v>0</v>
      </c>
      <c r="T19" s="539">
        <f t="shared" si="13"/>
        <v>0</v>
      </c>
      <c r="U19" s="21">
        <f t="shared" si="4"/>
        <v>0</v>
      </c>
      <c r="V19" s="21">
        <f t="shared" si="5"/>
        <v>0</v>
      </c>
      <c r="W19" s="20">
        <v>0</v>
      </c>
      <c r="X19" s="20">
        <f t="shared" si="6"/>
        <v>0</v>
      </c>
      <c r="Y19" s="20">
        <f t="shared" si="7"/>
        <v>0</v>
      </c>
      <c r="Z19" s="28">
        <f t="shared" si="8"/>
        <v>0</v>
      </c>
      <c r="AA19" s="537">
        <f t="shared" si="11"/>
        <v>0</v>
      </c>
      <c r="AB19" s="21">
        <f t="shared" si="9"/>
        <v>0</v>
      </c>
      <c r="AE19" s="21"/>
    </row>
    <row r="20" spans="1:34" s="1" customFormat="1" outlineLevel="1" x14ac:dyDescent="0.25">
      <c r="I20" s="1" t="s">
        <v>77</v>
      </c>
      <c r="N20" s="29">
        <f t="shared" ref="N20:AB20" si="15">SUM(N10:N19)</f>
        <v>96500</v>
      </c>
      <c r="O20" s="29">
        <f t="shared" si="15"/>
        <v>28964</v>
      </c>
      <c r="P20" s="29">
        <f t="shared" si="15"/>
        <v>67536</v>
      </c>
      <c r="Q20" s="29">
        <f t="shared" si="15"/>
        <v>8778</v>
      </c>
      <c r="R20" s="29">
        <f t="shared" si="15"/>
        <v>3798.3200000000006</v>
      </c>
      <c r="S20" s="29">
        <f t="shared" si="15"/>
        <v>4979.6799999999994</v>
      </c>
      <c r="T20" s="532">
        <f t="shared" si="15"/>
        <v>0</v>
      </c>
      <c r="U20" s="30">
        <f t="shared" si="15"/>
        <v>4979.6799999999994</v>
      </c>
      <c r="V20" s="30">
        <f t="shared" si="15"/>
        <v>0</v>
      </c>
      <c r="W20" s="30">
        <f t="shared" si="15"/>
        <v>3035</v>
      </c>
      <c r="X20" s="30">
        <f t="shared" si="15"/>
        <v>3</v>
      </c>
      <c r="Y20" s="30">
        <f t="shared" si="15"/>
        <v>3038</v>
      </c>
      <c r="Z20" s="30">
        <f t="shared" si="15"/>
        <v>2319.56</v>
      </c>
      <c r="AA20" s="536">
        <f>SUM(AA10:AA19)</f>
        <v>2660.12</v>
      </c>
      <c r="AB20" s="30">
        <f t="shared" si="15"/>
        <v>718.44</v>
      </c>
      <c r="AE20" s="30">
        <f t="shared" ref="AE20" si="16">SUM(AE10:AE19)</f>
        <v>2081</v>
      </c>
      <c r="AF20" s="1">
        <f>COUNT(AE10:AE19)</f>
        <v>4</v>
      </c>
      <c r="AH20"/>
    </row>
    <row r="21" spans="1:34" outlineLevel="1" x14ac:dyDescent="0.25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34" ht="15.75" customHeight="1" outlineLevel="1" x14ac:dyDescent="0.25">
      <c r="I22" s="374"/>
      <c r="J22" s="375" t="s">
        <v>247</v>
      </c>
      <c r="K22" s="376"/>
      <c r="L22" s="376"/>
      <c r="M22" s="377" t="s">
        <v>224</v>
      </c>
      <c r="N22" s="378">
        <v>13</v>
      </c>
      <c r="O22" s="377">
        <v>26</v>
      </c>
      <c r="P22" s="377">
        <v>27</v>
      </c>
      <c r="Q22" s="377">
        <v>2000</v>
      </c>
      <c r="R22" s="377">
        <v>215</v>
      </c>
      <c r="S22" s="377">
        <v>1215</v>
      </c>
      <c r="T22" s="377">
        <v>202</v>
      </c>
      <c r="U22" s="377">
        <v>2001</v>
      </c>
      <c r="V22" s="377">
        <v>634</v>
      </c>
      <c r="W22" s="378">
        <v>635</v>
      </c>
      <c r="X22" s="377">
        <v>648</v>
      </c>
      <c r="Y22" s="377">
        <v>649</v>
      </c>
      <c r="Z22" s="377">
        <v>650</v>
      </c>
      <c r="AA22" s="377">
        <v>909</v>
      </c>
      <c r="AB22" s="377">
        <v>592</v>
      </c>
    </row>
    <row r="23" spans="1:34" outlineLevel="1" x14ac:dyDescent="0.25">
      <c r="B23" s="1" t="s">
        <v>414</v>
      </c>
      <c r="N23" s="217">
        <f>+N20</f>
        <v>96500</v>
      </c>
      <c r="O23" s="217">
        <f t="shared" ref="O23:AB23" si="17">+O20</f>
        <v>28964</v>
      </c>
      <c r="P23" s="217">
        <f t="shared" si="17"/>
        <v>67536</v>
      </c>
      <c r="Q23" s="217">
        <f t="shared" si="17"/>
        <v>8778</v>
      </c>
      <c r="R23" s="217">
        <f t="shared" si="17"/>
        <v>3798.3200000000006</v>
      </c>
      <c r="S23" s="217">
        <f t="shared" si="17"/>
        <v>4979.6799999999994</v>
      </c>
      <c r="T23" s="217">
        <f t="shared" si="17"/>
        <v>0</v>
      </c>
      <c r="U23" s="217">
        <f t="shared" si="17"/>
        <v>4979.6799999999994</v>
      </c>
      <c r="V23" s="217">
        <f t="shared" si="17"/>
        <v>0</v>
      </c>
      <c r="W23" s="217">
        <f t="shared" si="17"/>
        <v>3035</v>
      </c>
      <c r="X23" s="217">
        <f t="shared" si="17"/>
        <v>3</v>
      </c>
      <c r="Y23" s="217">
        <f t="shared" si="17"/>
        <v>3038</v>
      </c>
      <c r="Z23" s="217">
        <f t="shared" si="17"/>
        <v>2319.56</v>
      </c>
      <c r="AA23" s="217">
        <f t="shared" si="17"/>
        <v>2660.12</v>
      </c>
      <c r="AB23" s="217">
        <f t="shared" si="17"/>
        <v>718.44</v>
      </c>
    </row>
    <row r="24" spans="1:34" x14ac:dyDescent="0.25">
      <c r="B24" s="2" t="s">
        <v>86</v>
      </c>
      <c r="Y24" s="1" t="s">
        <v>0</v>
      </c>
      <c r="Z24" s="3">
        <f>+Z3</f>
        <v>2.3434599999999999</v>
      </c>
      <c r="AA24" s="319">
        <v>43951</v>
      </c>
      <c r="AB24" s="320" t="str">
        <f>TEXT((WEEKDAY(AA24)),"dddd")</f>
        <v>jueves</v>
      </c>
    </row>
    <row r="25" spans="1:34" x14ac:dyDescent="0.25">
      <c r="B25" t="s">
        <v>1</v>
      </c>
      <c r="X25" s="41" t="s">
        <v>87</v>
      </c>
      <c r="Y25" s="1" t="s">
        <v>2</v>
      </c>
      <c r="Z25" s="3">
        <v>2.3467699999999998</v>
      </c>
      <c r="AA25" s="319">
        <v>43980</v>
      </c>
      <c r="AB25" s="320" t="str">
        <f>TEXT((WEEKDAY(AA25)),"dddd")</f>
        <v>viernes</v>
      </c>
    </row>
    <row r="26" spans="1:34" ht="15.75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 t="s">
        <v>3</v>
      </c>
      <c r="P26" s="4"/>
      <c r="Q26" s="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34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 t="s">
        <v>85</v>
      </c>
      <c r="P27" s="4"/>
      <c r="Q27" s="4"/>
      <c r="R27" s="4"/>
      <c r="S27" s="4"/>
      <c r="T27" s="4"/>
      <c r="U27" s="4"/>
      <c r="V27" s="4"/>
      <c r="W27" s="4"/>
      <c r="X27" s="4"/>
      <c r="Y27" s="8" t="s">
        <v>4</v>
      </c>
      <c r="Z27" s="9">
        <v>2122</v>
      </c>
      <c r="AA27" s="4"/>
      <c r="AB27" s="4"/>
    </row>
    <row r="28" spans="1:34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 t="s">
        <v>5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E28" s="31" t="s">
        <v>157</v>
      </c>
    </row>
    <row r="29" spans="1:34" x14ac:dyDescent="0.25">
      <c r="AE29" s="162">
        <v>44002</v>
      </c>
      <c r="AF29" s="163" t="s">
        <v>167</v>
      </c>
    </row>
    <row r="30" spans="1:34" ht="49.5" customHeight="1" outlineLevel="1" x14ac:dyDescent="0.25">
      <c r="B30" s="10" t="s">
        <v>6</v>
      </c>
      <c r="C30" s="10" t="s">
        <v>7</v>
      </c>
      <c r="D30" s="11" t="s">
        <v>8</v>
      </c>
      <c r="E30" s="10" t="s">
        <v>9</v>
      </c>
      <c r="F30" s="10" t="s">
        <v>10</v>
      </c>
      <c r="G30" s="10" t="s">
        <v>11</v>
      </c>
      <c r="H30" s="10" t="s">
        <v>12</v>
      </c>
      <c r="I30" s="10" t="s">
        <v>13</v>
      </c>
      <c r="J30" s="10" t="s">
        <v>14</v>
      </c>
      <c r="K30" s="42" t="s">
        <v>415</v>
      </c>
      <c r="L30" s="42" t="s">
        <v>415</v>
      </c>
      <c r="M30" s="42" t="s">
        <v>415</v>
      </c>
      <c r="N30" s="10" t="s">
        <v>15</v>
      </c>
      <c r="O30" s="10" t="s">
        <v>16</v>
      </c>
      <c r="P30" s="10" t="s">
        <v>17</v>
      </c>
      <c r="Q30" s="10" t="s">
        <v>18</v>
      </c>
      <c r="R30" s="10" t="s">
        <v>19</v>
      </c>
      <c r="S30" s="10" t="s">
        <v>20</v>
      </c>
      <c r="T30" s="10" t="s">
        <v>21</v>
      </c>
      <c r="U30" s="10" t="s">
        <v>22</v>
      </c>
      <c r="V30" s="10" t="s">
        <v>23</v>
      </c>
      <c r="W30" s="10" t="s">
        <v>24</v>
      </c>
      <c r="X30" s="10" t="s">
        <v>25</v>
      </c>
      <c r="Y30" s="10" t="s">
        <v>26</v>
      </c>
      <c r="Z30" s="10" t="s">
        <v>27</v>
      </c>
      <c r="AA30" s="39" t="s">
        <v>28</v>
      </c>
      <c r="AB30" s="10" t="s">
        <v>29</v>
      </c>
      <c r="AC30" s="12"/>
      <c r="AD30" s="12"/>
      <c r="AE30" s="154" t="s">
        <v>21</v>
      </c>
    </row>
    <row r="31" spans="1:34" s="13" customFormat="1" ht="37.5" customHeight="1" outlineLevel="1" x14ac:dyDescent="0.2">
      <c r="B31" s="14" t="s">
        <v>30</v>
      </c>
      <c r="C31" s="14" t="s">
        <v>31</v>
      </c>
      <c r="D31" s="14" t="s">
        <v>32</v>
      </c>
      <c r="E31" s="14" t="s">
        <v>33</v>
      </c>
      <c r="F31" s="14" t="s">
        <v>34</v>
      </c>
      <c r="G31" s="14" t="s">
        <v>35</v>
      </c>
      <c r="H31" s="14" t="s">
        <v>36</v>
      </c>
      <c r="I31" s="14" t="s">
        <v>37</v>
      </c>
      <c r="J31" s="14" t="s">
        <v>38</v>
      </c>
      <c r="K31" s="14"/>
      <c r="L31" s="14"/>
      <c r="M31" s="14"/>
      <c r="N31" s="14" t="s">
        <v>39</v>
      </c>
      <c r="O31" s="14" t="s">
        <v>40</v>
      </c>
      <c r="P31" s="14" t="s">
        <v>41</v>
      </c>
      <c r="Q31" s="14" t="s">
        <v>42</v>
      </c>
      <c r="R31" s="14" t="s">
        <v>43</v>
      </c>
      <c r="S31" s="14" t="s">
        <v>44</v>
      </c>
      <c r="T31" s="14" t="s">
        <v>45</v>
      </c>
      <c r="U31" s="14" t="s">
        <v>46</v>
      </c>
      <c r="V31" s="14" t="s">
        <v>47</v>
      </c>
      <c r="W31" s="14" t="s">
        <v>48</v>
      </c>
      <c r="X31" s="14" t="s">
        <v>49</v>
      </c>
      <c r="Y31" s="14" t="s">
        <v>50</v>
      </c>
      <c r="Z31" s="14" t="s">
        <v>51</v>
      </c>
      <c r="AA31" s="14" t="s">
        <v>52</v>
      </c>
      <c r="AB31" s="14" t="s">
        <v>53</v>
      </c>
      <c r="AC31" s="540" t="s">
        <v>226</v>
      </c>
    </row>
    <row r="32" spans="1:34" outlineLevel="1" x14ac:dyDescent="0.25">
      <c r="A32" s="5">
        <v>1</v>
      </c>
      <c r="B32" s="15">
        <v>2020</v>
      </c>
      <c r="C32" s="15">
        <v>5</v>
      </c>
      <c r="D32" s="16">
        <v>4380924010</v>
      </c>
      <c r="E32" s="17" t="s">
        <v>54</v>
      </c>
      <c r="F32" s="17" t="s">
        <v>55</v>
      </c>
      <c r="G32" s="17" t="s">
        <v>56</v>
      </c>
      <c r="H32" s="17">
        <v>4380924</v>
      </c>
      <c r="I32" s="18" t="s">
        <v>57</v>
      </c>
      <c r="J32" s="15" t="s">
        <v>58</v>
      </c>
      <c r="K32" s="32"/>
      <c r="L32" s="32"/>
      <c r="M32" s="32"/>
      <c r="N32" s="19">
        <v>11000</v>
      </c>
      <c r="O32" s="19">
        <f>IF(N32&gt;($Z$5*2),$Z$5*2,N32)</f>
        <v>4244</v>
      </c>
      <c r="P32" s="20">
        <f t="shared" ref="P32:P41" si="18">IF(N32&gt;O32,N32-O32,0)</f>
        <v>6756</v>
      </c>
      <c r="Q32" s="20">
        <f t="shared" ref="Q32:Q41" si="19">ROUND(P32*13%,0)</f>
        <v>878</v>
      </c>
      <c r="R32" s="21">
        <f t="shared" ref="R32" si="20">IF(Q32&lt;($Z$5*2*0.13),Q32,$Z$5*2*0.13)</f>
        <v>551.72</v>
      </c>
      <c r="S32" s="20">
        <f t="shared" ref="S32:S41" si="21">IF(Q32&gt;R32,Q32-R32,0)</f>
        <v>326.27999999999997</v>
      </c>
      <c r="T32" s="538">
        <f>IF($AC$31=$AE$1,AE32,0)</f>
        <v>450</v>
      </c>
      <c r="U32" s="20">
        <f t="shared" ref="U32:U41" si="22">IF(S32&gt;T32,S32-T32,0)</f>
        <v>0</v>
      </c>
      <c r="V32" s="20">
        <f t="shared" ref="V32:V41" si="23">IF(T32&gt;S32,T32-S32,0)</f>
        <v>123.72000000000003</v>
      </c>
      <c r="W32" s="20">
        <f>+AB10</f>
        <v>0</v>
      </c>
      <c r="X32" s="20">
        <f>ROUND(W32*($Z$25/$Z$24-1),0)</f>
        <v>0</v>
      </c>
      <c r="Y32" s="20">
        <f t="shared" ref="Y32:Y41" si="24">W32+X32</f>
        <v>0</v>
      </c>
      <c r="Z32" s="20">
        <f t="shared" ref="Z32:Z41" si="25">IF(Y32&lt;=U32,Y32,U32)</f>
        <v>0</v>
      </c>
      <c r="AA32" s="534">
        <f>IF(U32&gt;=Z32,U32-Z32,0)</f>
        <v>0</v>
      </c>
      <c r="AB32" s="20">
        <f t="shared" ref="AB32:AB41" si="26">IF((V32+Y32)&gt;Z32,(V32+Y32)-Z32,0)</f>
        <v>123.72000000000003</v>
      </c>
      <c r="AE32" s="19">
        <v>450</v>
      </c>
    </row>
    <row r="33" spans="1:32" outlineLevel="1" x14ac:dyDescent="0.25">
      <c r="A33" s="5">
        <v>2</v>
      </c>
      <c r="B33" s="22">
        <f>+B32</f>
        <v>2020</v>
      </c>
      <c r="C33" s="22">
        <f>+C32</f>
        <v>5</v>
      </c>
      <c r="D33" s="23">
        <v>3887474011</v>
      </c>
      <c r="E33" s="24" t="s">
        <v>59</v>
      </c>
      <c r="F33" s="24" t="s">
        <v>60</v>
      </c>
      <c r="G33" s="24" t="s">
        <v>60</v>
      </c>
      <c r="H33" s="24">
        <v>3887474</v>
      </c>
      <c r="I33" s="22" t="s">
        <v>57</v>
      </c>
      <c r="J33" s="22" t="s">
        <v>58</v>
      </c>
      <c r="K33" s="32"/>
      <c r="L33" s="32"/>
      <c r="M33" s="32"/>
      <c r="N33" s="20">
        <v>3500</v>
      </c>
      <c r="O33" s="25">
        <f t="shared" ref="O33" si="27">IF(N33&gt;($Z$5*2),$Z$5*2,N33)</f>
        <v>3500</v>
      </c>
      <c r="P33" s="25">
        <f t="shared" si="18"/>
        <v>0</v>
      </c>
      <c r="Q33" s="25">
        <f t="shared" si="19"/>
        <v>0</v>
      </c>
      <c r="R33" s="25">
        <f t="shared" ref="R33:R38" si="28">IF(Q33&lt;($Z$5*2*0.13),Q33,$Z$5*2*0.13)</f>
        <v>0</v>
      </c>
      <c r="S33" s="25">
        <f t="shared" si="21"/>
        <v>0</v>
      </c>
      <c r="T33" s="539">
        <f>IF($AC$31=$AE$1,AE33,0)</f>
        <v>0</v>
      </c>
      <c r="U33" s="25">
        <f t="shared" si="22"/>
        <v>0</v>
      </c>
      <c r="V33" s="25">
        <f t="shared" si="23"/>
        <v>0</v>
      </c>
      <c r="W33" s="25">
        <f t="shared" ref="W33:W41" si="29">+AB11</f>
        <v>30</v>
      </c>
      <c r="X33" s="25">
        <f t="shared" ref="X33:X41" si="30">ROUND(W33*($Z$25/$Z$24-1),0)</f>
        <v>0</v>
      </c>
      <c r="Y33" s="25">
        <f t="shared" si="24"/>
        <v>30</v>
      </c>
      <c r="Z33" s="25">
        <f t="shared" si="25"/>
        <v>0</v>
      </c>
      <c r="AA33" s="535">
        <f t="shared" ref="AA33:AA41" si="31">IF(U33&gt;=Z33,U33-Z33,0)</f>
        <v>0</v>
      </c>
      <c r="AB33" s="25">
        <f t="shared" si="26"/>
        <v>30</v>
      </c>
      <c r="AE33" s="25"/>
    </row>
    <row r="34" spans="1:32" s="38" customFormat="1" outlineLevel="1" x14ac:dyDescent="0.25">
      <c r="A34" s="5">
        <v>3</v>
      </c>
      <c r="B34" s="32">
        <f t="shared" ref="B34:C39" si="32">+B33</f>
        <v>2020</v>
      </c>
      <c r="C34" s="32">
        <f>+C33</f>
        <v>5</v>
      </c>
      <c r="D34" s="33">
        <v>4570616017</v>
      </c>
      <c r="E34" s="34" t="s">
        <v>62</v>
      </c>
      <c r="F34" s="34" t="s">
        <v>63</v>
      </c>
      <c r="G34" s="34" t="s">
        <v>64</v>
      </c>
      <c r="H34" s="34">
        <v>2345678</v>
      </c>
      <c r="I34" s="35" t="s">
        <v>57</v>
      </c>
      <c r="J34" s="32" t="s">
        <v>58</v>
      </c>
      <c r="K34" s="32"/>
      <c r="L34" s="32"/>
      <c r="M34" s="32"/>
      <c r="N34" s="36">
        <v>7000</v>
      </c>
      <c r="O34" s="36">
        <v>0</v>
      </c>
      <c r="P34" s="36">
        <f t="shared" si="18"/>
        <v>7000</v>
      </c>
      <c r="Q34" s="36">
        <f t="shared" si="19"/>
        <v>910</v>
      </c>
      <c r="R34" s="25">
        <f t="shared" si="28"/>
        <v>551.72</v>
      </c>
      <c r="S34" s="36">
        <f t="shared" si="21"/>
        <v>358.28</v>
      </c>
      <c r="T34" s="539">
        <f t="shared" ref="T34:T41" si="33">IF($AC$31=$AE$1,AE34,0)</f>
        <v>0</v>
      </c>
      <c r="U34" s="36">
        <f t="shared" si="22"/>
        <v>358.28</v>
      </c>
      <c r="V34" s="36">
        <f t="shared" si="23"/>
        <v>0</v>
      </c>
      <c r="W34" s="36">
        <f t="shared" si="29"/>
        <v>442.72</v>
      </c>
      <c r="X34" s="36">
        <f>ROUND(W34*($Z$25/$Z$24-1),0)</f>
        <v>1</v>
      </c>
      <c r="Y34" s="36">
        <f t="shared" si="24"/>
        <v>443.72</v>
      </c>
      <c r="Z34" s="36">
        <f t="shared" si="25"/>
        <v>358.28</v>
      </c>
      <c r="AA34" s="535">
        <f t="shared" si="31"/>
        <v>0</v>
      </c>
      <c r="AB34" s="36">
        <f t="shared" si="26"/>
        <v>85.440000000000055</v>
      </c>
      <c r="AE34" s="36"/>
    </row>
    <row r="35" spans="1:32" outlineLevel="1" x14ac:dyDescent="0.25">
      <c r="A35" s="5">
        <v>4</v>
      </c>
      <c r="B35" s="22">
        <f t="shared" si="32"/>
        <v>2020</v>
      </c>
      <c r="C35" s="22">
        <f>+C34</f>
        <v>5</v>
      </c>
      <c r="D35" s="23">
        <v>4466790012</v>
      </c>
      <c r="E35" s="24" t="s">
        <v>65</v>
      </c>
      <c r="F35" s="24" t="s">
        <v>66</v>
      </c>
      <c r="G35" s="24" t="s">
        <v>67</v>
      </c>
      <c r="H35" s="24">
        <v>4466790</v>
      </c>
      <c r="I35" s="22" t="s">
        <v>57</v>
      </c>
      <c r="J35" s="22" t="s">
        <v>58</v>
      </c>
      <c r="K35" s="22"/>
      <c r="L35" s="22"/>
      <c r="M35" s="22"/>
      <c r="N35" s="25">
        <v>12000</v>
      </c>
      <c r="O35" s="25">
        <f t="shared" ref="O35:O39" si="34">IF(N35&gt;($Z$5*2),$Z$5*2,N35)</f>
        <v>4244</v>
      </c>
      <c r="P35" s="25">
        <f t="shared" si="18"/>
        <v>7756</v>
      </c>
      <c r="Q35" s="25">
        <f t="shared" si="19"/>
        <v>1008</v>
      </c>
      <c r="R35" s="25">
        <f t="shared" si="28"/>
        <v>551.72</v>
      </c>
      <c r="S35" s="25">
        <f t="shared" si="21"/>
        <v>456.28</v>
      </c>
      <c r="T35" s="539">
        <f t="shared" si="33"/>
        <v>300</v>
      </c>
      <c r="U35" s="25">
        <f t="shared" si="22"/>
        <v>156.27999999999997</v>
      </c>
      <c r="V35" s="25">
        <f t="shared" si="23"/>
        <v>0</v>
      </c>
      <c r="W35" s="25">
        <f t="shared" si="29"/>
        <v>0</v>
      </c>
      <c r="X35" s="25">
        <f t="shared" si="30"/>
        <v>0</v>
      </c>
      <c r="Y35" s="25">
        <f t="shared" si="24"/>
        <v>0</v>
      </c>
      <c r="Z35" s="25">
        <f t="shared" si="25"/>
        <v>0</v>
      </c>
      <c r="AA35" s="535">
        <f t="shared" si="31"/>
        <v>156.27999999999997</v>
      </c>
      <c r="AB35" s="25">
        <f t="shared" si="26"/>
        <v>0</v>
      </c>
      <c r="AE35" s="25">
        <v>300</v>
      </c>
    </row>
    <row r="36" spans="1:32" outlineLevel="1" x14ac:dyDescent="0.25">
      <c r="A36" s="5">
        <v>5</v>
      </c>
      <c r="B36" s="22">
        <f t="shared" si="32"/>
        <v>2020</v>
      </c>
      <c r="C36" s="22">
        <f t="shared" si="32"/>
        <v>5</v>
      </c>
      <c r="D36" s="23">
        <v>4466791013</v>
      </c>
      <c r="E36" s="24" t="s">
        <v>68</v>
      </c>
      <c r="F36" s="24" t="s">
        <v>60</v>
      </c>
      <c r="G36" s="24" t="s">
        <v>69</v>
      </c>
      <c r="H36" s="24">
        <v>4466791</v>
      </c>
      <c r="I36" s="22" t="s">
        <v>57</v>
      </c>
      <c r="J36" s="22" t="s">
        <v>58</v>
      </c>
      <c r="K36" s="22"/>
      <c r="L36" s="22"/>
      <c r="M36" s="22"/>
      <c r="N36" s="25">
        <v>15000</v>
      </c>
      <c r="O36" s="25">
        <f t="shared" si="34"/>
        <v>4244</v>
      </c>
      <c r="P36" s="25">
        <f t="shared" si="18"/>
        <v>10756</v>
      </c>
      <c r="Q36" s="25">
        <f t="shared" si="19"/>
        <v>1398</v>
      </c>
      <c r="R36" s="25">
        <f t="shared" si="28"/>
        <v>551.72</v>
      </c>
      <c r="S36" s="25">
        <f t="shared" si="21"/>
        <v>846.28</v>
      </c>
      <c r="T36" s="539">
        <f t="shared" si="33"/>
        <v>300</v>
      </c>
      <c r="U36" s="25">
        <f t="shared" si="22"/>
        <v>546.28</v>
      </c>
      <c r="V36" s="25">
        <f t="shared" si="23"/>
        <v>0</v>
      </c>
      <c r="W36" s="25">
        <f t="shared" si="29"/>
        <v>0</v>
      </c>
      <c r="X36" s="25">
        <f t="shared" si="30"/>
        <v>0</v>
      </c>
      <c r="Y36" s="25">
        <f t="shared" si="24"/>
        <v>0</v>
      </c>
      <c r="Z36" s="25">
        <f t="shared" si="25"/>
        <v>0</v>
      </c>
      <c r="AA36" s="535">
        <f t="shared" si="31"/>
        <v>546.28</v>
      </c>
      <c r="AB36" s="25">
        <f t="shared" si="26"/>
        <v>0</v>
      </c>
      <c r="AE36" s="25">
        <v>300</v>
      </c>
    </row>
    <row r="37" spans="1:32" outlineLevel="1" x14ac:dyDescent="0.25">
      <c r="A37" s="5">
        <v>6</v>
      </c>
      <c r="B37" s="22">
        <f t="shared" si="32"/>
        <v>2020</v>
      </c>
      <c r="C37" s="22">
        <f t="shared" si="32"/>
        <v>5</v>
      </c>
      <c r="D37" s="23">
        <v>4466792010</v>
      </c>
      <c r="E37" s="24" t="s">
        <v>70</v>
      </c>
      <c r="F37" s="24" t="s">
        <v>71</v>
      </c>
      <c r="G37" s="24" t="s">
        <v>72</v>
      </c>
      <c r="H37" s="24">
        <v>4466792</v>
      </c>
      <c r="I37" s="22" t="s">
        <v>57</v>
      </c>
      <c r="J37" s="22" t="s">
        <v>58</v>
      </c>
      <c r="K37" s="22"/>
      <c r="L37" s="22"/>
      <c r="M37" s="22"/>
      <c r="N37" s="25">
        <v>22000</v>
      </c>
      <c r="O37" s="25">
        <f t="shared" si="34"/>
        <v>4244</v>
      </c>
      <c r="P37" s="25">
        <f t="shared" si="18"/>
        <v>17756</v>
      </c>
      <c r="Q37" s="25">
        <f t="shared" si="19"/>
        <v>2308</v>
      </c>
      <c r="R37" s="25">
        <f t="shared" si="28"/>
        <v>551.72</v>
      </c>
      <c r="S37" s="25">
        <f t="shared" si="21"/>
        <v>1756.28</v>
      </c>
      <c r="T37" s="539">
        <f t="shared" si="33"/>
        <v>1600</v>
      </c>
      <c r="U37" s="25">
        <f t="shared" si="22"/>
        <v>156.27999999999997</v>
      </c>
      <c r="V37" s="25">
        <f t="shared" si="23"/>
        <v>0</v>
      </c>
      <c r="W37" s="25">
        <f t="shared" si="29"/>
        <v>245.72000000000003</v>
      </c>
      <c r="X37" s="25">
        <f t="shared" si="30"/>
        <v>0</v>
      </c>
      <c r="Y37" s="25">
        <f t="shared" si="24"/>
        <v>245.72000000000003</v>
      </c>
      <c r="Z37" s="25">
        <f t="shared" si="25"/>
        <v>156.27999999999997</v>
      </c>
      <c r="AA37" s="535">
        <f t="shared" si="31"/>
        <v>0</v>
      </c>
      <c r="AB37" s="25">
        <f t="shared" si="26"/>
        <v>89.440000000000055</v>
      </c>
      <c r="AE37" s="25">
        <v>1600</v>
      </c>
    </row>
    <row r="38" spans="1:32" outlineLevel="1" x14ac:dyDescent="0.25">
      <c r="A38" s="5">
        <v>7</v>
      </c>
      <c r="B38" s="22">
        <f t="shared" si="32"/>
        <v>2020</v>
      </c>
      <c r="C38" s="22">
        <f t="shared" si="32"/>
        <v>5</v>
      </c>
      <c r="D38" s="23">
        <v>4466793017</v>
      </c>
      <c r="E38" s="24" t="s">
        <v>73</v>
      </c>
      <c r="F38" s="24" t="s">
        <v>72</v>
      </c>
      <c r="G38" s="24" t="s">
        <v>72</v>
      </c>
      <c r="H38" s="24">
        <v>4466793</v>
      </c>
      <c r="I38" s="22" t="s">
        <v>57</v>
      </c>
      <c r="J38" s="22" t="s">
        <v>58</v>
      </c>
      <c r="K38" s="22"/>
      <c r="L38" s="22"/>
      <c r="M38" s="22"/>
      <c r="N38" s="25">
        <v>18000</v>
      </c>
      <c r="O38" s="25">
        <f t="shared" si="34"/>
        <v>4244</v>
      </c>
      <c r="P38" s="25">
        <f t="shared" si="18"/>
        <v>13756</v>
      </c>
      <c r="Q38" s="25">
        <f t="shared" si="19"/>
        <v>1788</v>
      </c>
      <c r="R38" s="25">
        <f t="shared" si="28"/>
        <v>551.72</v>
      </c>
      <c r="S38" s="25">
        <f t="shared" si="21"/>
        <v>1236.28</v>
      </c>
      <c r="T38" s="539">
        <f t="shared" si="33"/>
        <v>800</v>
      </c>
      <c r="U38" s="25">
        <f t="shared" si="22"/>
        <v>436.28</v>
      </c>
      <c r="V38" s="25">
        <f t="shared" si="23"/>
        <v>0</v>
      </c>
      <c r="W38" s="25">
        <f t="shared" si="29"/>
        <v>0</v>
      </c>
      <c r="X38" s="25">
        <f>ROUND(W38*($Z$25/$Z$24-1),0)</f>
        <v>0</v>
      </c>
      <c r="Y38" s="25">
        <f t="shared" si="24"/>
        <v>0</v>
      </c>
      <c r="Z38" s="25">
        <f t="shared" si="25"/>
        <v>0</v>
      </c>
      <c r="AA38" s="535">
        <f t="shared" si="31"/>
        <v>436.28</v>
      </c>
      <c r="AB38" s="25">
        <f t="shared" si="26"/>
        <v>0</v>
      </c>
      <c r="AE38" s="25">
        <v>800</v>
      </c>
    </row>
    <row r="39" spans="1:32" outlineLevel="1" x14ac:dyDescent="0.25">
      <c r="A39" s="5">
        <v>8</v>
      </c>
      <c r="B39" s="22">
        <f t="shared" si="32"/>
        <v>2020</v>
      </c>
      <c r="C39" s="22">
        <f t="shared" si="32"/>
        <v>5</v>
      </c>
      <c r="D39" s="23">
        <v>4466795019</v>
      </c>
      <c r="E39" s="24" t="s">
        <v>74</v>
      </c>
      <c r="F39" s="24" t="s">
        <v>75</v>
      </c>
      <c r="G39" s="24" t="s">
        <v>76</v>
      </c>
      <c r="H39" s="24">
        <v>4466795</v>
      </c>
      <c r="I39" s="22" t="s">
        <v>57</v>
      </c>
      <c r="J39" s="22" t="s">
        <v>58</v>
      </c>
      <c r="K39" s="22"/>
      <c r="L39" s="22"/>
      <c r="M39" s="22"/>
      <c r="N39" s="25">
        <v>8000</v>
      </c>
      <c r="O39" s="25">
        <f t="shared" si="34"/>
        <v>4244</v>
      </c>
      <c r="P39" s="25">
        <f t="shared" si="18"/>
        <v>3756</v>
      </c>
      <c r="Q39" s="25">
        <f t="shared" si="19"/>
        <v>488</v>
      </c>
      <c r="R39" s="25">
        <f>IF(Q39&lt;($Z$5*2*0.13),Q39,$Z$5*2*0.13)</f>
        <v>488</v>
      </c>
      <c r="S39" s="25">
        <f t="shared" si="21"/>
        <v>0</v>
      </c>
      <c r="T39" s="539">
        <f t="shared" si="33"/>
        <v>0</v>
      </c>
      <c r="U39" s="25">
        <f t="shared" si="22"/>
        <v>0</v>
      </c>
      <c r="V39" s="25">
        <f t="shared" si="23"/>
        <v>0</v>
      </c>
      <c r="W39" s="25">
        <f t="shared" si="29"/>
        <v>0</v>
      </c>
      <c r="X39" s="25">
        <f t="shared" si="30"/>
        <v>0</v>
      </c>
      <c r="Y39" s="25">
        <f t="shared" si="24"/>
        <v>0</v>
      </c>
      <c r="Z39" s="25">
        <f t="shared" si="25"/>
        <v>0</v>
      </c>
      <c r="AA39" s="535">
        <f t="shared" si="31"/>
        <v>0</v>
      </c>
      <c r="AB39" s="25">
        <f t="shared" si="26"/>
        <v>0</v>
      </c>
      <c r="AE39" s="25"/>
    </row>
    <row r="40" spans="1:32" outlineLevel="1" x14ac:dyDescent="0.25">
      <c r="B40" s="22"/>
      <c r="C40" s="2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>
        <v>0</v>
      </c>
      <c r="O40" s="25"/>
      <c r="P40" s="25">
        <f t="shared" si="18"/>
        <v>0</v>
      </c>
      <c r="Q40" s="25">
        <f t="shared" si="19"/>
        <v>0</v>
      </c>
      <c r="R40" s="25"/>
      <c r="S40" s="25">
        <f t="shared" si="21"/>
        <v>0</v>
      </c>
      <c r="T40" s="539">
        <f t="shared" si="33"/>
        <v>0</v>
      </c>
      <c r="U40" s="25">
        <f t="shared" si="22"/>
        <v>0</v>
      </c>
      <c r="V40" s="25">
        <f t="shared" si="23"/>
        <v>0</v>
      </c>
      <c r="W40" s="25">
        <f t="shared" si="29"/>
        <v>0</v>
      </c>
      <c r="X40" s="25">
        <f t="shared" si="30"/>
        <v>0</v>
      </c>
      <c r="Y40" s="25">
        <f t="shared" si="24"/>
        <v>0</v>
      </c>
      <c r="Z40" s="25">
        <f t="shared" si="25"/>
        <v>0</v>
      </c>
      <c r="AA40" s="535">
        <f t="shared" si="31"/>
        <v>0</v>
      </c>
      <c r="AB40" s="25">
        <f t="shared" si="26"/>
        <v>0</v>
      </c>
      <c r="AE40" s="25"/>
    </row>
    <row r="41" spans="1:32" outlineLevel="1" x14ac:dyDescent="0.25">
      <c r="B41" s="26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>
        <v>0</v>
      </c>
      <c r="O41" s="28"/>
      <c r="P41" s="28">
        <f t="shared" si="18"/>
        <v>0</v>
      </c>
      <c r="Q41" s="28">
        <f t="shared" si="19"/>
        <v>0</v>
      </c>
      <c r="R41" s="28"/>
      <c r="S41" s="28">
        <f t="shared" si="21"/>
        <v>0</v>
      </c>
      <c r="T41" s="539">
        <f t="shared" si="33"/>
        <v>0</v>
      </c>
      <c r="U41" s="21">
        <f t="shared" si="22"/>
        <v>0</v>
      </c>
      <c r="V41" s="21">
        <f t="shared" si="23"/>
        <v>0</v>
      </c>
      <c r="W41" s="20">
        <f t="shared" si="29"/>
        <v>0</v>
      </c>
      <c r="X41" s="20">
        <f t="shared" si="30"/>
        <v>0</v>
      </c>
      <c r="Y41" s="20">
        <f t="shared" si="24"/>
        <v>0</v>
      </c>
      <c r="Z41" s="28">
        <f t="shared" si="25"/>
        <v>0</v>
      </c>
      <c r="AA41" s="537">
        <f t="shared" si="31"/>
        <v>0</v>
      </c>
      <c r="AB41" s="21">
        <f t="shared" si="26"/>
        <v>0</v>
      </c>
      <c r="AE41" s="21"/>
    </row>
    <row r="42" spans="1:32" s="1" customFormat="1" outlineLevel="1" x14ac:dyDescent="0.25">
      <c r="I42" s="1" t="s">
        <v>77</v>
      </c>
      <c r="N42" s="29">
        <f t="shared" ref="N42:AB42" si="35">SUM(N32:N41)</f>
        <v>96500</v>
      </c>
      <c r="O42" s="29">
        <f t="shared" si="35"/>
        <v>28964</v>
      </c>
      <c r="P42" s="29">
        <f t="shared" si="35"/>
        <v>67536</v>
      </c>
      <c r="Q42" s="29">
        <f t="shared" si="35"/>
        <v>8778</v>
      </c>
      <c r="R42" s="29">
        <f t="shared" si="35"/>
        <v>3798.3200000000006</v>
      </c>
      <c r="S42" s="29">
        <f t="shared" si="35"/>
        <v>4979.6799999999994</v>
      </c>
      <c r="T42" s="532">
        <f t="shared" si="35"/>
        <v>3450</v>
      </c>
      <c r="U42" s="30">
        <f t="shared" si="35"/>
        <v>1653.3999999999999</v>
      </c>
      <c r="V42" s="30">
        <f t="shared" si="35"/>
        <v>123.72000000000003</v>
      </c>
      <c r="W42" s="30">
        <f t="shared" si="35"/>
        <v>718.44</v>
      </c>
      <c r="X42" s="30">
        <f t="shared" si="35"/>
        <v>1</v>
      </c>
      <c r="Y42" s="30">
        <f t="shared" si="35"/>
        <v>719.44</v>
      </c>
      <c r="Z42" s="30">
        <f t="shared" si="35"/>
        <v>514.55999999999995</v>
      </c>
      <c r="AA42" s="536">
        <f>SUM(AA32:AA41)</f>
        <v>1138.8399999999999</v>
      </c>
      <c r="AB42" s="30">
        <f t="shared" si="35"/>
        <v>328.60000000000014</v>
      </c>
      <c r="AE42" s="30">
        <f>SUM(AE32:AE41)</f>
        <v>3450</v>
      </c>
      <c r="AF42" s="1">
        <f>COUNT(AE32:AE41)</f>
        <v>5</v>
      </c>
    </row>
    <row r="43" spans="1:32" ht="15.75" customHeight="1" outlineLevel="1" x14ac:dyDescent="0.25"/>
    <row r="44" spans="1:32" ht="15.75" customHeight="1" outlineLevel="1" x14ac:dyDescent="0.25">
      <c r="I44" s="374"/>
      <c r="J44" s="375"/>
      <c r="K44" s="376"/>
      <c r="L44" s="376"/>
      <c r="M44" s="377" t="s">
        <v>224</v>
      </c>
      <c r="N44" s="378">
        <v>13</v>
      </c>
      <c r="O44" s="377">
        <v>26</v>
      </c>
      <c r="P44" s="377">
        <v>27</v>
      </c>
      <c r="Q44" s="377">
        <v>2000</v>
      </c>
      <c r="R44" s="377">
        <v>215</v>
      </c>
      <c r="S44" s="377">
        <v>1215</v>
      </c>
      <c r="T44" s="377">
        <v>202</v>
      </c>
      <c r="U44" s="377">
        <v>2001</v>
      </c>
      <c r="V44" s="377">
        <v>634</v>
      </c>
      <c r="W44" s="378">
        <v>635</v>
      </c>
      <c r="X44" s="377">
        <v>648</v>
      </c>
      <c r="Y44" s="377">
        <v>649</v>
      </c>
      <c r="Z44" s="377">
        <v>650</v>
      </c>
      <c r="AA44" s="377">
        <v>909</v>
      </c>
      <c r="AB44" s="377">
        <v>592</v>
      </c>
    </row>
    <row r="45" spans="1:32" ht="15.75" customHeight="1" outlineLevel="1" x14ac:dyDescent="0.25">
      <c r="N45" s="217">
        <f>+N42</f>
        <v>96500</v>
      </c>
      <c r="O45" s="217">
        <f t="shared" ref="O45:AB45" si="36">+O42</f>
        <v>28964</v>
      </c>
      <c r="P45" s="217">
        <f t="shared" si="36"/>
        <v>67536</v>
      </c>
      <c r="Q45" s="217">
        <f t="shared" si="36"/>
        <v>8778</v>
      </c>
      <c r="R45" s="217">
        <f t="shared" si="36"/>
        <v>3798.3200000000006</v>
      </c>
      <c r="S45" s="217">
        <f t="shared" si="36"/>
        <v>4979.6799999999994</v>
      </c>
      <c r="T45" s="217">
        <f t="shared" si="36"/>
        <v>3450</v>
      </c>
      <c r="U45" s="217">
        <f t="shared" si="36"/>
        <v>1653.3999999999999</v>
      </c>
      <c r="V45" s="217">
        <f t="shared" si="36"/>
        <v>123.72000000000003</v>
      </c>
      <c r="W45" s="217">
        <f t="shared" si="36"/>
        <v>718.44</v>
      </c>
      <c r="X45" s="217">
        <f t="shared" si="36"/>
        <v>1</v>
      </c>
      <c r="Y45" s="217">
        <f t="shared" si="36"/>
        <v>719.44</v>
      </c>
      <c r="Z45" s="217">
        <f t="shared" si="36"/>
        <v>514.55999999999995</v>
      </c>
      <c r="AA45" s="217">
        <f t="shared" si="36"/>
        <v>1138.8399999999999</v>
      </c>
      <c r="AB45" s="217">
        <f t="shared" si="36"/>
        <v>328.60000000000014</v>
      </c>
    </row>
    <row r="46" spans="1:32" ht="15.75" customHeight="1" x14ac:dyDescent="0.25"/>
    <row r="47" spans="1:32" ht="15.75" customHeight="1" x14ac:dyDescent="0.25"/>
    <row r="48" spans="1:32" x14ac:dyDescent="0.25">
      <c r="B48" s="1" t="s">
        <v>414</v>
      </c>
    </row>
    <row r="49" spans="1:32" x14ac:dyDescent="0.25">
      <c r="B49" s="2" t="s">
        <v>86</v>
      </c>
      <c r="Y49" s="1" t="s">
        <v>0</v>
      </c>
      <c r="Z49" s="3">
        <f>+Z25</f>
        <v>2.3467699999999998</v>
      </c>
      <c r="AA49" s="319">
        <v>43980</v>
      </c>
      <c r="AB49" s="320" t="str">
        <f>TEXT((WEEKDAY(AA49)),"dddd")</f>
        <v>viernes</v>
      </c>
    </row>
    <row r="50" spans="1:32" x14ac:dyDescent="0.25">
      <c r="B50" t="s">
        <v>1</v>
      </c>
      <c r="X50" s="41" t="s">
        <v>87</v>
      </c>
      <c r="Y50" s="1" t="s">
        <v>2</v>
      </c>
      <c r="Z50" s="3">
        <v>2.3500866666666664</v>
      </c>
      <c r="AA50" s="319">
        <v>44012</v>
      </c>
      <c r="AB50" s="320" t="str">
        <f>TEXT((WEEKDAY(AA50)),"dddd")</f>
        <v>martes</v>
      </c>
    </row>
    <row r="51" spans="1:32" ht="18.75" x14ac:dyDescent="0.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0" t="s">
        <v>255</v>
      </c>
      <c r="P51" s="4"/>
      <c r="Q51" s="6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32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" t="s">
        <v>78</v>
      </c>
      <c r="P52" s="4"/>
      <c r="Q52" s="4"/>
      <c r="R52" s="4"/>
      <c r="S52" s="4"/>
      <c r="T52" s="4"/>
      <c r="U52" s="4"/>
      <c r="V52" s="4"/>
      <c r="W52" s="4"/>
      <c r="X52" s="4"/>
      <c r="Y52" s="8" t="s">
        <v>4</v>
      </c>
      <c r="Z52" s="9">
        <v>2122</v>
      </c>
      <c r="AA52" s="4"/>
      <c r="AB52" s="4"/>
    </row>
    <row r="53" spans="1:32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7" t="s">
        <v>5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E53" s="31" t="s">
        <v>157</v>
      </c>
    </row>
    <row r="54" spans="1:32" x14ac:dyDescent="0.25">
      <c r="AE54" s="162">
        <v>44002</v>
      </c>
      <c r="AF54" s="163" t="s">
        <v>168</v>
      </c>
    </row>
    <row r="55" spans="1:32" ht="49.5" customHeight="1" outlineLevel="1" x14ac:dyDescent="0.25">
      <c r="B55" s="10" t="s">
        <v>6</v>
      </c>
      <c r="C55" s="10" t="s">
        <v>7</v>
      </c>
      <c r="D55" s="11" t="s">
        <v>8</v>
      </c>
      <c r="E55" s="10" t="s">
        <v>9</v>
      </c>
      <c r="F55" s="10" t="s">
        <v>10</v>
      </c>
      <c r="G55" s="10" t="s">
        <v>11</v>
      </c>
      <c r="H55" s="10" t="s">
        <v>12</v>
      </c>
      <c r="I55" s="10" t="s">
        <v>13</v>
      </c>
      <c r="J55" s="10" t="s">
        <v>14</v>
      </c>
      <c r="K55" s="42" t="s">
        <v>415</v>
      </c>
      <c r="L55" s="42" t="s">
        <v>415</v>
      </c>
      <c r="M55" s="47" t="s">
        <v>88</v>
      </c>
      <c r="N55" s="10" t="s">
        <v>15</v>
      </c>
      <c r="O55" s="10" t="s">
        <v>16</v>
      </c>
      <c r="P55" s="10" t="s">
        <v>17</v>
      </c>
      <c r="Q55" s="10" t="s">
        <v>18</v>
      </c>
      <c r="R55" s="10" t="s">
        <v>19</v>
      </c>
      <c r="S55" s="10" t="s">
        <v>20</v>
      </c>
      <c r="T55" s="10" t="s">
        <v>21</v>
      </c>
      <c r="U55" s="10" t="s">
        <v>22</v>
      </c>
      <c r="V55" s="10" t="s">
        <v>23</v>
      </c>
      <c r="W55" s="10" t="s">
        <v>24</v>
      </c>
      <c r="X55" s="10" t="s">
        <v>25</v>
      </c>
      <c r="Y55" s="10" t="s">
        <v>26</v>
      </c>
      <c r="Z55" s="10" t="s">
        <v>27</v>
      </c>
      <c r="AA55" s="39" t="s">
        <v>28</v>
      </c>
      <c r="AB55" s="10" t="s">
        <v>29</v>
      </c>
      <c r="AC55" s="12"/>
      <c r="AD55" s="12"/>
      <c r="AE55" s="154" t="s">
        <v>21</v>
      </c>
    </row>
    <row r="56" spans="1:32" s="13" customFormat="1" ht="37.5" customHeight="1" outlineLevel="1" x14ac:dyDescent="0.25">
      <c r="B56" s="14" t="s">
        <v>30</v>
      </c>
      <c r="C56" s="14" t="s">
        <v>31</v>
      </c>
      <c r="D56" s="14" t="s">
        <v>32</v>
      </c>
      <c r="E56" s="14" t="s">
        <v>33</v>
      </c>
      <c r="F56" s="14" t="s">
        <v>34</v>
      </c>
      <c r="G56" s="14" t="s">
        <v>35</v>
      </c>
      <c r="H56" s="14" t="s">
        <v>36</v>
      </c>
      <c r="I56" s="14" t="s">
        <v>37</v>
      </c>
      <c r="J56" s="14" t="s">
        <v>38</v>
      </c>
      <c r="K56" s="52"/>
      <c r="L56" s="52"/>
      <c r="M56" s="53"/>
      <c r="N56" s="14" t="s">
        <v>39</v>
      </c>
      <c r="O56" s="14" t="s">
        <v>40</v>
      </c>
      <c r="P56" s="14" t="s">
        <v>41</v>
      </c>
      <c r="Q56" s="14" t="s">
        <v>42</v>
      </c>
      <c r="R56" s="14" t="s">
        <v>43</v>
      </c>
      <c r="S56" s="14" t="s">
        <v>44</v>
      </c>
      <c r="T56" s="14" t="s">
        <v>45</v>
      </c>
      <c r="U56" s="14" t="s">
        <v>46</v>
      </c>
      <c r="V56" s="14" t="s">
        <v>47</v>
      </c>
      <c r="W56" s="14" t="s">
        <v>48</v>
      </c>
      <c r="X56" s="14" t="s">
        <v>49</v>
      </c>
      <c r="Y56" s="14" t="s">
        <v>50</v>
      </c>
      <c r="Z56" s="14" t="s">
        <v>51</v>
      </c>
      <c r="AA56" s="14" t="s">
        <v>52</v>
      </c>
      <c r="AB56" s="14" t="s">
        <v>53</v>
      </c>
      <c r="AC56" s="12"/>
    </row>
    <row r="57" spans="1:32" outlineLevel="1" x14ac:dyDescent="0.25">
      <c r="A57" s="5">
        <v>1</v>
      </c>
      <c r="B57" s="15">
        <v>2020</v>
      </c>
      <c r="C57" s="15">
        <v>6</v>
      </c>
      <c r="D57" s="16">
        <v>4380924010</v>
      </c>
      <c r="E57" s="17" t="s">
        <v>54</v>
      </c>
      <c r="F57" s="17" t="s">
        <v>55</v>
      </c>
      <c r="G57" s="17" t="s">
        <v>56</v>
      </c>
      <c r="H57" s="17">
        <v>4380924</v>
      </c>
      <c r="I57" s="18" t="s">
        <v>57</v>
      </c>
      <c r="J57" s="15" t="s">
        <v>58</v>
      </c>
      <c r="K57" s="43"/>
      <c r="L57" s="43"/>
      <c r="M57" s="48">
        <v>11000</v>
      </c>
      <c r="N57" s="19">
        <f>SUM(K57:M57)</f>
        <v>11000</v>
      </c>
      <c r="O57" s="19">
        <f>IF(N57&gt;($Z$5*2),$Z$5*2,N57)</f>
        <v>4244</v>
      </c>
      <c r="P57" s="20">
        <f t="shared" ref="P57:P66" si="37">IF(N57&gt;O57,N57-O57,0)</f>
        <v>6756</v>
      </c>
      <c r="Q57" s="20">
        <f t="shared" ref="Q57:Q66" si="38">ROUND(P57*13%,0)</f>
        <v>878</v>
      </c>
      <c r="R57" s="21">
        <f t="shared" ref="R57" si="39">IF(Q57&lt;($Z$5*2*0.13),Q57,$Z$5*2*0.13)</f>
        <v>551.72</v>
      </c>
      <c r="S57" s="20">
        <f t="shared" ref="S57:S66" si="40">IF(Q57&gt;R57,Q57-R57,0)</f>
        <v>326.27999999999997</v>
      </c>
      <c r="T57" s="164">
        <f>+AE57</f>
        <v>450</v>
      </c>
      <c r="U57" s="20">
        <f t="shared" ref="U57:U66" si="41">IF(S57&gt;T57,S57-T57,0)</f>
        <v>0</v>
      </c>
      <c r="V57" s="20">
        <f t="shared" ref="V57:V66" si="42">IF(T57&gt;S57,T57-S57,0)</f>
        <v>123.72000000000003</v>
      </c>
      <c r="W57" s="534">
        <f>+AB32</f>
        <v>123.72000000000003</v>
      </c>
      <c r="X57" s="20">
        <f>ROUND(W57*($Z$50/$Z$49-1),0)</f>
        <v>0</v>
      </c>
      <c r="Y57" s="20">
        <f t="shared" ref="Y57:Y66" si="43">W57+X57</f>
        <v>123.72000000000003</v>
      </c>
      <c r="Z57" s="20">
        <f t="shared" ref="Z57:Z66" si="44">IF(Y57&lt;=U57,Y57,U57)</f>
        <v>0</v>
      </c>
      <c r="AA57" s="534">
        <f>IF(U57&gt;=Z57,U57-Z57,0)</f>
        <v>0</v>
      </c>
      <c r="AB57" s="20">
        <f t="shared" ref="AB57:AB66" si="45">IF((V57+Y57)&gt;Z57,(V57+Y57)-Z57,0)</f>
        <v>247.44000000000005</v>
      </c>
      <c r="AE57" s="19">
        <v>450</v>
      </c>
    </row>
    <row r="58" spans="1:32" ht="14.25" customHeight="1" outlineLevel="1" x14ac:dyDescent="0.25">
      <c r="A58" s="5">
        <v>2</v>
      </c>
      <c r="B58" s="22">
        <f>+B57</f>
        <v>2020</v>
      </c>
      <c r="C58" s="22">
        <f>+C57</f>
        <v>6</v>
      </c>
      <c r="D58" s="23">
        <v>3887474011</v>
      </c>
      <c r="E58" s="24" t="s">
        <v>59</v>
      </c>
      <c r="F58" s="24" t="s">
        <v>60</v>
      </c>
      <c r="G58" s="24" t="s">
        <v>60</v>
      </c>
      <c r="H58" s="24">
        <v>3887474</v>
      </c>
      <c r="I58" s="22" t="s">
        <v>57</v>
      </c>
      <c r="J58" s="22" t="s">
        <v>58</v>
      </c>
      <c r="K58" s="44"/>
      <c r="L58" s="44"/>
      <c r="M58" s="49">
        <v>3500</v>
      </c>
      <c r="N58" s="25">
        <f>SUM(K58:M58)</f>
        <v>3500</v>
      </c>
      <c r="O58" s="25">
        <f t="shared" ref="O58:O60" si="46">IF(N58&gt;($Z$5*2),$Z$5*2,N58)</f>
        <v>3500</v>
      </c>
      <c r="P58" s="25">
        <f t="shared" si="37"/>
        <v>0</v>
      </c>
      <c r="Q58" s="25">
        <f t="shared" si="38"/>
        <v>0</v>
      </c>
      <c r="R58" s="25">
        <f t="shared" ref="R58:R63" si="47">IF(Q58&lt;($Z$5*2*0.13),Q58,$Z$5*2*0.13)</f>
        <v>0</v>
      </c>
      <c r="S58" s="25">
        <f t="shared" si="40"/>
        <v>0</v>
      </c>
      <c r="T58" s="165">
        <f t="shared" ref="T58:T66" si="48">+AE58</f>
        <v>0</v>
      </c>
      <c r="U58" s="25">
        <f t="shared" si="41"/>
        <v>0</v>
      </c>
      <c r="V58" s="25">
        <f t="shared" si="42"/>
        <v>0</v>
      </c>
      <c r="W58" s="535">
        <f t="shared" ref="W58:W66" si="49">+AB33</f>
        <v>30</v>
      </c>
      <c r="X58" s="25">
        <f t="shared" ref="X58:X66" si="50">ROUND(W58*($Z$50/$Z$49-1),0)</f>
        <v>0</v>
      </c>
      <c r="Y58" s="25">
        <f t="shared" si="43"/>
        <v>30</v>
      </c>
      <c r="Z58" s="25">
        <f t="shared" si="44"/>
        <v>0</v>
      </c>
      <c r="AA58" s="535">
        <f t="shared" ref="AA58:AA66" si="51">IF(U58&gt;=Z58,U58-Z58,0)</f>
        <v>0</v>
      </c>
      <c r="AB58" s="25">
        <f t="shared" si="45"/>
        <v>30</v>
      </c>
      <c r="AE58" s="25"/>
    </row>
    <row r="59" spans="1:32" s="38" customFormat="1" outlineLevel="1" x14ac:dyDescent="0.25">
      <c r="A59" s="5">
        <v>3</v>
      </c>
      <c r="B59" s="32">
        <f t="shared" ref="B59:B64" si="52">+B58</f>
        <v>2020</v>
      </c>
      <c r="C59" s="32">
        <f>+C58</f>
        <v>6</v>
      </c>
      <c r="D59" s="33">
        <v>4570616017</v>
      </c>
      <c r="E59" s="34" t="s">
        <v>62</v>
      </c>
      <c r="F59" s="34" t="s">
        <v>63</v>
      </c>
      <c r="G59" s="34" t="s">
        <v>64</v>
      </c>
      <c r="H59" s="34">
        <v>2345678</v>
      </c>
      <c r="I59" s="35" t="s">
        <v>57</v>
      </c>
      <c r="J59" s="32" t="s">
        <v>58</v>
      </c>
      <c r="K59" s="45"/>
      <c r="L59" s="45"/>
      <c r="M59" s="50">
        <v>7000</v>
      </c>
      <c r="N59" s="36">
        <f t="shared" ref="N59:N64" si="53">SUM(K59:M59)</f>
        <v>7000</v>
      </c>
      <c r="O59" s="25">
        <f t="shared" si="46"/>
        <v>4244</v>
      </c>
      <c r="P59" s="36">
        <f t="shared" si="37"/>
        <v>2756</v>
      </c>
      <c r="Q59" s="36">
        <f t="shared" si="38"/>
        <v>358</v>
      </c>
      <c r="R59" s="25">
        <f t="shared" si="47"/>
        <v>358</v>
      </c>
      <c r="S59" s="36">
        <f t="shared" si="40"/>
        <v>0</v>
      </c>
      <c r="T59" s="165">
        <f t="shared" si="48"/>
        <v>0</v>
      </c>
      <c r="U59" s="36">
        <f t="shared" si="41"/>
        <v>0</v>
      </c>
      <c r="V59" s="36">
        <f t="shared" si="42"/>
        <v>0</v>
      </c>
      <c r="W59" s="535">
        <f t="shared" si="49"/>
        <v>85.440000000000055</v>
      </c>
      <c r="X59" s="36">
        <f t="shared" si="50"/>
        <v>0</v>
      </c>
      <c r="Y59" s="36">
        <f t="shared" si="43"/>
        <v>85.440000000000055</v>
      </c>
      <c r="Z59" s="36">
        <f t="shared" si="44"/>
        <v>0</v>
      </c>
      <c r="AA59" s="535">
        <f t="shared" si="51"/>
        <v>0</v>
      </c>
      <c r="AB59" s="36">
        <f t="shared" si="45"/>
        <v>85.440000000000055</v>
      </c>
      <c r="AE59" s="36"/>
    </row>
    <row r="60" spans="1:32" outlineLevel="1" x14ac:dyDescent="0.25">
      <c r="A60" s="5">
        <v>4</v>
      </c>
      <c r="B60" s="22">
        <f t="shared" si="52"/>
        <v>2020</v>
      </c>
      <c r="C60" s="22">
        <f>+C59</f>
        <v>6</v>
      </c>
      <c r="D60" s="23">
        <v>4466790012</v>
      </c>
      <c r="E60" s="24" t="s">
        <v>65</v>
      </c>
      <c r="F60" s="24" t="s">
        <v>66</v>
      </c>
      <c r="G60" s="24" t="s">
        <v>67</v>
      </c>
      <c r="H60" s="24">
        <v>4466790</v>
      </c>
      <c r="I60" s="22" t="s">
        <v>57</v>
      </c>
      <c r="J60" s="22" t="s">
        <v>58</v>
      </c>
      <c r="K60" s="46"/>
      <c r="L60" s="46"/>
      <c r="M60" s="51">
        <v>12000</v>
      </c>
      <c r="N60" s="25">
        <f t="shared" si="53"/>
        <v>12000</v>
      </c>
      <c r="O60" s="25">
        <f t="shared" si="46"/>
        <v>4244</v>
      </c>
      <c r="P60" s="25">
        <f t="shared" si="37"/>
        <v>7756</v>
      </c>
      <c r="Q60" s="25">
        <f t="shared" si="38"/>
        <v>1008</v>
      </c>
      <c r="R60" s="25">
        <f t="shared" si="47"/>
        <v>551.72</v>
      </c>
      <c r="S60" s="25">
        <f t="shared" si="40"/>
        <v>456.28</v>
      </c>
      <c r="T60" s="165">
        <f t="shared" si="48"/>
        <v>450</v>
      </c>
      <c r="U60" s="25">
        <f t="shared" si="41"/>
        <v>6.2799999999999727</v>
      </c>
      <c r="V60" s="25">
        <f t="shared" si="42"/>
        <v>0</v>
      </c>
      <c r="W60" s="535">
        <f t="shared" si="49"/>
        <v>0</v>
      </c>
      <c r="X60" s="25">
        <f t="shared" si="50"/>
        <v>0</v>
      </c>
      <c r="Y60" s="25">
        <f t="shared" si="43"/>
        <v>0</v>
      </c>
      <c r="Z60" s="25">
        <f t="shared" si="44"/>
        <v>0</v>
      </c>
      <c r="AA60" s="535">
        <f t="shared" si="51"/>
        <v>6.2799999999999727</v>
      </c>
      <c r="AB60" s="25">
        <f t="shared" si="45"/>
        <v>0</v>
      </c>
      <c r="AE60" s="25">
        <v>450</v>
      </c>
    </row>
    <row r="61" spans="1:32" outlineLevel="1" x14ac:dyDescent="0.25">
      <c r="A61" s="5">
        <v>5</v>
      </c>
      <c r="B61" s="22">
        <f t="shared" si="52"/>
        <v>2020</v>
      </c>
      <c r="C61" s="22">
        <f t="shared" ref="C61:C64" si="54">+C60</f>
        <v>6</v>
      </c>
      <c r="D61" s="23">
        <v>4466791013</v>
      </c>
      <c r="E61" s="24" t="s">
        <v>68</v>
      </c>
      <c r="F61" s="24" t="s">
        <v>60</v>
      </c>
      <c r="G61" s="24" t="s">
        <v>69</v>
      </c>
      <c r="H61" s="24">
        <v>4466791</v>
      </c>
      <c r="I61" s="22" t="s">
        <v>57</v>
      </c>
      <c r="J61" s="22" t="s">
        <v>58</v>
      </c>
      <c r="K61" s="46"/>
      <c r="L61" s="46"/>
      <c r="M61" s="51">
        <v>15000</v>
      </c>
      <c r="N61" s="25">
        <f t="shared" si="53"/>
        <v>15000</v>
      </c>
      <c r="O61" s="25">
        <f t="shared" ref="O61:O64" si="55">IF(N61&gt;($Z$5*2),$Z$5*2,N61)</f>
        <v>4244</v>
      </c>
      <c r="P61" s="25">
        <f t="shared" si="37"/>
        <v>10756</v>
      </c>
      <c r="Q61" s="25">
        <f t="shared" si="38"/>
        <v>1398</v>
      </c>
      <c r="R61" s="25">
        <f t="shared" si="47"/>
        <v>551.72</v>
      </c>
      <c r="S61" s="25">
        <f t="shared" si="40"/>
        <v>846.28</v>
      </c>
      <c r="T61" s="165">
        <f t="shared" si="48"/>
        <v>500</v>
      </c>
      <c r="U61" s="25">
        <f t="shared" si="41"/>
        <v>346.28</v>
      </c>
      <c r="V61" s="25">
        <f t="shared" si="42"/>
        <v>0</v>
      </c>
      <c r="W61" s="535">
        <f t="shared" si="49"/>
        <v>0</v>
      </c>
      <c r="X61" s="25">
        <f t="shared" si="50"/>
        <v>0</v>
      </c>
      <c r="Y61" s="25">
        <f t="shared" si="43"/>
        <v>0</v>
      </c>
      <c r="Z61" s="25">
        <f t="shared" si="44"/>
        <v>0</v>
      </c>
      <c r="AA61" s="535">
        <f t="shared" si="51"/>
        <v>346.28</v>
      </c>
      <c r="AB61" s="25">
        <f t="shared" si="45"/>
        <v>0</v>
      </c>
      <c r="AE61" s="25">
        <v>500</v>
      </c>
    </row>
    <row r="62" spans="1:32" outlineLevel="1" x14ac:dyDescent="0.25">
      <c r="A62" s="5">
        <v>6</v>
      </c>
      <c r="B62" s="22">
        <f t="shared" si="52"/>
        <v>2020</v>
      </c>
      <c r="C62" s="22">
        <f t="shared" si="54"/>
        <v>6</v>
      </c>
      <c r="D62" s="23">
        <v>4466792010</v>
      </c>
      <c r="E62" s="24" t="s">
        <v>70</v>
      </c>
      <c r="F62" s="24" t="s">
        <v>71</v>
      </c>
      <c r="G62" s="24" t="s">
        <v>72</v>
      </c>
      <c r="H62" s="24">
        <v>4466792</v>
      </c>
      <c r="I62" s="22" t="s">
        <v>57</v>
      </c>
      <c r="J62" s="22" t="s">
        <v>58</v>
      </c>
      <c r="K62" s="46"/>
      <c r="L62" s="46"/>
      <c r="M62" s="51">
        <v>22000</v>
      </c>
      <c r="N62" s="25">
        <f t="shared" si="53"/>
        <v>22000</v>
      </c>
      <c r="O62" s="25">
        <f t="shared" si="55"/>
        <v>4244</v>
      </c>
      <c r="P62" s="25">
        <f t="shared" si="37"/>
        <v>17756</v>
      </c>
      <c r="Q62" s="25">
        <f t="shared" si="38"/>
        <v>2308</v>
      </c>
      <c r="R62" s="25">
        <f t="shared" si="47"/>
        <v>551.72</v>
      </c>
      <c r="S62" s="25">
        <f t="shared" si="40"/>
        <v>1756.28</v>
      </c>
      <c r="T62" s="165">
        <f t="shared" si="48"/>
        <v>0</v>
      </c>
      <c r="U62" s="25">
        <f t="shared" si="41"/>
        <v>1756.28</v>
      </c>
      <c r="V62" s="25">
        <f t="shared" si="42"/>
        <v>0</v>
      </c>
      <c r="W62" s="535">
        <f t="shared" si="49"/>
        <v>89.440000000000055</v>
      </c>
      <c r="X62" s="25">
        <f t="shared" si="50"/>
        <v>0</v>
      </c>
      <c r="Y62" s="25">
        <f t="shared" si="43"/>
        <v>89.440000000000055</v>
      </c>
      <c r="Z62" s="25">
        <f t="shared" si="44"/>
        <v>89.440000000000055</v>
      </c>
      <c r="AA62" s="535">
        <f t="shared" si="51"/>
        <v>1666.84</v>
      </c>
      <c r="AB62" s="25">
        <f t="shared" si="45"/>
        <v>0</v>
      </c>
      <c r="AE62" s="25"/>
    </row>
    <row r="63" spans="1:32" outlineLevel="1" x14ac:dyDescent="0.25">
      <c r="A63" s="5">
        <v>7</v>
      </c>
      <c r="B63" s="22">
        <f t="shared" si="52"/>
        <v>2020</v>
      </c>
      <c r="C63" s="22">
        <f t="shared" si="54"/>
        <v>6</v>
      </c>
      <c r="D63" s="23">
        <v>4466793017</v>
      </c>
      <c r="E63" s="24" t="s">
        <v>73</v>
      </c>
      <c r="F63" s="24" t="s">
        <v>72</v>
      </c>
      <c r="G63" s="24" t="s">
        <v>72</v>
      </c>
      <c r="H63" s="24">
        <v>4466793</v>
      </c>
      <c r="I63" s="22" t="s">
        <v>57</v>
      </c>
      <c r="J63" s="22" t="s">
        <v>58</v>
      </c>
      <c r="K63" s="46"/>
      <c r="L63" s="46"/>
      <c r="M63" s="51">
        <v>18000</v>
      </c>
      <c r="N63" s="25">
        <f t="shared" si="53"/>
        <v>18000</v>
      </c>
      <c r="O63" s="25">
        <f t="shared" si="55"/>
        <v>4244</v>
      </c>
      <c r="P63" s="25">
        <f t="shared" si="37"/>
        <v>13756</v>
      </c>
      <c r="Q63" s="25">
        <f t="shared" si="38"/>
        <v>1788</v>
      </c>
      <c r="R63" s="25">
        <f t="shared" si="47"/>
        <v>551.72</v>
      </c>
      <c r="S63" s="25">
        <f t="shared" si="40"/>
        <v>1236.28</v>
      </c>
      <c r="T63" s="165">
        <f t="shared" si="48"/>
        <v>300</v>
      </c>
      <c r="U63" s="25">
        <f t="shared" si="41"/>
        <v>936.28</v>
      </c>
      <c r="V63" s="25">
        <f t="shared" si="42"/>
        <v>0</v>
      </c>
      <c r="W63" s="535">
        <f t="shared" si="49"/>
        <v>0</v>
      </c>
      <c r="X63" s="25">
        <f>ROUND(W63*($Z$50/$Z$49-1),0)</f>
        <v>0</v>
      </c>
      <c r="Y63" s="25">
        <f t="shared" si="43"/>
        <v>0</v>
      </c>
      <c r="Z63" s="25">
        <f t="shared" si="44"/>
        <v>0</v>
      </c>
      <c r="AA63" s="535">
        <f t="shared" si="51"/>
        <v>936.28</v>
      </c>
      <c r="AB63" s="25">
        <f t="shared" si="45"/>
        <v>0</v>
      </c>
      <c r="AE63" s="25">
        <v>300</v>
      </c>
    </row>
    <row r="64" spans="1:32" outlineLevel="1" x14ac:dyDescent="0.25">
      <c r="A64" s="5">
        <v>8</v>
      </c>
      <c r="B64" s="22">
        <f t="shared" si="52"/>
        <v>2020</v>
      </c>
      <c r="C64" s="22">
        <f t="shared" si="54"/>
        <v>6</v>
      </c>
      <c r="D64" s="23">
        <v>4466795019</v>
      </c>
      <c r="E64" s="24" t="s">
        <v>74</v>
      </c>
      <c r="F64" s="24" t="s">
        <v>75</v>
      </c>
      <c r="G64" s="24" t="s">
        <v>76</v>
      </c>
      <c r="H64" s="24">
        <v>4466795</v>
      </c>
      <c r="I64" s="22" t="s">
        <v>57</v>
      </c>
      <c r="J64" s="22" t="s">
        <v>58</v>
      </c>
      <c r="K64" s="46"/>
      <c r="L64" s="46"/>
      <c r="M64" s="51">
        <v>8000</v>
      </c>
      <c r="N64" s="25">
        <f t="shared" si="53"/>
        <v>8000</v>
      </c>
      <c r="O64" s="25">
        <f t="shared" si="55"/>
        <v>4244</v>
      </c>
      <c r="P64" s="25">
        <f t="shared" si="37"/>
        <v>3756</v>
      </c>
      <c r="Q64" s="25">
        <f t="shared" si="38"/>
        <v>488</v>
      </c>
      <c r="R64" s="25">
        <f>IF(Q64&lt;($Z$5*2*0.13),Q64,$Z$5*2*0.13)</f>
        <v>488</v>
      </c>
      <c r="S64" s="25">
        <f t="shared" si="40"/>
        <v>0</v>
      </c>
      <c r="T64" s="165">
        <f t="shared" si="48"/>
        <v>0</v>
      </c>
      <c r="U64" s="25">
        <f t="shared" si="41"/>
        <v>0</v>
      </c>
      <c r="V64" s="25">
        <f t="shared" si="42"/>
        <v>0</v>
      </c>
      <c r="W64" s="535">
        <f t="shared" si="49"/>
        <v>0</v>
      </c>
      <c r="X64" s="25">
        <f t="shared" si="50"/>
        <v>0</v>
      </c>
      <c r="Y64" s="25">
        <f t="shared" si="43"/>
        <v>0</v>
      </c>
      <c r="Z64" s="25">
        <f t="shared" si="44"/>
        <v>0</v>
      </c>
      <c r="AA64" s="535">
        <f t="shared" si="51"/>
        <v>0</v>
      </c>
      <c r="AB64" s="25">
        <f t="shared" si="45"/>
        <v>0</v>
      </c>
      <c r="AE64" s="25"/>
    </row>
    <row r="65" spans="2:32" outlineLevel="1" x14ac:dyDescent="0.25">
      <c r="B65" s="22"/>
      <c r="C65" s="22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>
        <v>0</v>
      </c>
      <c r="O65" s="25"/>
      <c r="P65" s="25">
        <f t="shared" si="37"/>
        <v>0</v>
      </c>
      <c r="Q65" s="25">
        <f t="shared" si="38"/>
        <v>0</v>
      </c>
      <c r="R65" s="25"/>
      <c r="S65" s="25">
        <f t="shared" si="40"/>
        <v>0</v>
      </c>
      <c r="T65" s="165">
        <f t="shared" si="48"/>
        <v>0</v>
      </c>
      <c r="U65" s="25">
        <f t="shared" si="41"/>
        <v>0</v>
      </c>
      <c r="V65" s="25">
        <f t="shared" si="42"/>
        <v>0</v>
      </c>
      <c r="W65" s="535">
        <f t="shared" si="49"/>
        <v>0</v>
      </c>
      <c r="X65" s="25">
        <f t="shared" si="50"/>
        <v>0</v>
      </c>
      <c r="Y65" s="25">
        <f t="shared" si="43"/>
        <v>0</v>
      </c>
      <c r="Z65" s="25">
        <f t="shared" si="44"/>
        <v>0</v>
      </c>
      <c r="AA65" s="535">
        <f t="shared" si="51"/>
        <v>0</v>
      </c>
      <c r="AB65" s="25">
        <f t="shared" si="45"/>
        <v>0</v>
      </c>
      <c r="AE65" s="25"/>
    </row>
    <row r="66" spans="2:32" outlineLevel="1" x14ac:dyDescent="0.25">
      <c r="B66" s="26"/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8">
        <v>0</v>
      </c>
      <c r="O66" s="28"/>
      <c r="P66" s="28">
        <f t="shared" si="37"/>
        <v>0</v>
      </c>
      <c r="Q66" s="28">
        <f t="shared" si="38"/>
        <v>0</v>
      </c>
      <c r="R66" s="28"/>
      <c r="S66" s="28">
        <f t="shared" si="40"/>
        <v>0</v>
      </c>
      <c r="T66" s="166">
        <f t="shared" si="48"/>
        <v>0</v>
      </c>
      <c r="U66" s="21">
        <f t="shared" si="41"/>
        <v>0</v>
      </c>
      <c r="V66" s="21">
        <f t="shared" si="42"/>
        <v>0</v>
      </c>
      <c r="W66" s="534">
        <f t="shared" si="49"/>
        <v>0</v>
      </c>
      <c r="X66" s="20">
        <f t="shared" si="50"/>
        <v>0</v>
      </c>
      <c r="Y66" s="20">
        <f t="shared" si="43"/>
        <v>0</v>
      </c>
      <c r="Z66" s="28">
        <f t="shared" si="44"/>
        <v>0</v>
      </c>
      <c r="AA66" s="537">
        <f t="shared" si="51"/>
        <v>0</v>
      </c>
      <c r="AB66" s="21">
        <f t="shared" si="45"/>
        <v>0</v>
      </c>
      <c r="AE66" s="21"/>
    </row>
    <row r="67" spans="2:32" s="1" customFormat="1" outlineLevel="1" x14ac:dyDescent="0.25">
      <c r="I67" s="1" t="s">
        <v>77</v>
      </c>
      <c r="N67" s="29">
        <f t="shared" ref="N67:AB67" si="56">SUM(N57:N66)</f>
        <v>96500</v>
      </c>
      <c r="O67" s="29">
        <f t="shared" si="56"/>
        <v>33208</v>
      </c>
      <c r="P67" s="29">
        <f t="shared" si="56"/>
        <v>63292</v>
      </c>
      <c r="Q67" s="29">
        <f t="shared" si="56"/>
        <v>8226</v>
      </c>
      <c r="R67" s="29">
        <f t="shared" si="56"/>
        <v>3604.6000000000004</v>
      </c>
      <c r="S67" s="29">
        <f t="shared" si="56"/>
        <v>4621.3999999999996</v>
      </c>
      <c r="T67" s="30">
        <f t="shared" si="56"/>
        <v>1700</v>
      </c>
      <c r="U67" s="30">
        <f t="shared" si="56"/>
        <v>3045.12</v>
      </c>
      <c r="V67" s="30">
        <f t="shared" si="56"/>
        <v>123.72000000000003</v>
      </c>
      <c r="W67" s="536">
        <f t="shared" si="56"/>
        <v>328.60000000000014</v>
      </c>
      <c r="X67" s="30">
        <f t="shared" si="56"/>
        <v>0</v>
      </c>
      <c r="Y67" s="30">
        <f t="shared" si="56"/>
        <v>328.60000000000014</v>
      </c>
      <c r="Z67" s="30">
        <f t="shared" si="56"/>
        <v>89.440000000000055</v>
      </c>
      <c r="AA67" s="536">
        <f>SUM(AA57:AA66)</f>
        <v>2955.68</v>
      </c>
      <c r="AB67" s="30">
        <f t="shared" si="56"/>
        <v>362.88000000000011</v>
      </c>
      <c r="AE67" s="30">
        <f t="shared" ref="AE67" si="57">SUM(AE57:AE66)</f>
        <v>1700</v>
      </c>
      <c r="AF67" s="1">
        <f>COUNT(AE57:AE66)</f>
        <v>4</v>
      </c>
    </row>
    <row r="68" spans="2:32" ht="15.75" customHeight="1" outlineLevel="1" x14ac:dyDescent="0.25"/>
    <row r="69" spans="2:32" ht="15.75" customHeight="1" outlineLevel="1" x14ac:dyDescent="0.25">
      <c r="I69" s="374"/>
      <c r="J69" s="375"/>
      <c r="K69" s="376"/>
      <c r="L69" s="376"/>
      <c r="M69" s="377" t="s">
        <v>224</v>
      </c>
      <c r="N69" s="378">
        <v>13</v>
      </c>
      <c r="O69" s="377">
        <v>26</v>
      </c>
      <c r="P69" s="377">
        <v>27</v>
      </c>
      <c r="Q69" s="377">
        <v>2000</v>
      </c>
      <c r="R69" s="377">
        <v>215</v>
      </c>
      <c r="S69" s="377">
        <v>1215</v>
      </c>
      <c r="T69" s="377">
        <v>202</v>
      </c>
      <c r="U69" s="377">
        <v>2001</v>
      </c>
      <c r="V69" s="377">
        <v>634</v>
      </c>
      <c r="W69" s="378">
        <v>635</v>
      </c>
      <c r="X69" s="377">
        <v>648</v>
      </c>
      <c r="Y69" s="377">
        <v>649</v>
      </c>
      <c r="Z69" s="377">
        <v>650</v>
      </c>
      <c r="AA69" s="377">
        <v>909</v>
      </c>
      <c r="AB69" s="377">
        <v>592</v>
      </c>
    </row>
    <row r="70" spans="2:32" ht="15.75" customHeight="1" outlineLevel="1" x14ac:dyDescent="0.25">
      <c r="N70" s="217">
        <f>+N67</f>
        <v>96500</v>
      </c>
      <c r="O70" s="217">
        <f t="shared" ref="O70:AB70" si="58">+O67</f>
        <v>33208</v>
      </c>
      <c r="P70" s="217">
        <f t="shared" si="58"/>
        <v>63292</v>
      </c>
      <c r="Q70" s="217">
        <f t="shared" si="58"/>
        <v>8226</v>
      </c>
      <c r="R70" s="217">
        <f t="shared" si="58"/>
        <v>3604.6000000000004</v>
      </c>
      <c r="S70" s="217">
        <f t="shared" si="58"/>
        <v>4621.3999999999996</v>
      </c>
      <c r="T70" s="217">
        <f t="shared" si="58"/>
        <v>1700</v>
      </c>
      <c r="U70" s="217">
        <f t="shared" si="58"/>
        <v>3045.12</v>
      </c>
      <c r="V70" s="217">
        <f t="shared" si="58"/>
        <v>123.72000000000003</v>
      </c>
      <c r="W70" s="217">
        <f t="shared" si="58"/>
        <v>328.60000000000014</v>
      </c>
      <c r="X70" s="217">
        <f t="shared" si="58"/>
        <v>0</v>
      </c>
      <c r="Y70" s="217">
        <f t="shared" si="58"/>
        <v>328.60000000000014</v>
      </c>
      <c r="Z70" s="217">
        <f t="shared" si="58"/>
        <v>89.440000000000055</v>
      </c>
      <c r="AA70" s="217">
        <f t="shared" si="58"/>
        <v>2955.68</v>
      </c>
      <c r="AB70" s="217">
        <f t="shared" si="58"/>
        <v>362.88000000000011</v>
      </c>
    </row>
    <row r="71" spans="2:32" ht="15.75" customHeight="1" x14ac:dyDescent="0.25"/>
    <row r="72" spans="2:32" ht="15.75" customHeight="1" x14ac:dyDescent="0.25">
      <c r="B72" s="1" t="s">
        <v>414</v>
      </c>
    </row>
    <row r="73" spans="2:32" x14ac:dyDescent="0.25">
      <c r="B73" s="2" t="s">
        <v>86</v>
      </c>
      <c r="Y73" s="1" t="s">
        <v>0</v>
      </c>
      <c r="Z73" s="3">
        <f>+Z49</f>
        <v>2.3467699999999998</v>
      </c>
      <c r="AA73" s="319">
        <v>43980</v>
      </c>
      <c r="AB73" s="320" t="str">
        <f>TEXT((WEEKDAY(AA73)),"dddd")</f>
        <v>viernes</v>
      </c>
    </row>
    <row r="74" spans="2:32" x14ac:dyDescent="0.25">
      <c r="B74" t="s">
        <v>1</v>
      </c>
      <c r="X74" s="41" t="s">
        <v>87</v>
      </c>
      <c r="Y74" s="1" t="s">
        <v>2</v>
      </c>
      <c r="Z74" s="3">
        <v>2.3500866666666664</v>
      </c>
      <c r="AA74" s="319">
        <v>44012</v>
      </c>
      <c r="AB74" s="320" t="str">
        <f>TEXT((WEEKDAY(AA74)),"dddd")</f>
        <v>martes</v>
      </c>
    </row>
    <row r="75" spans="2:32" ht="18.75" x14ac:dyDescent="0.3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0" t="s">
        <v>256</v>
      </c>
      <c r="P75" s="4"/>
      <c r="Q75" s="6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32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7" t="s">
        <v>78</v>
      </c>
      <c r="P76" s="4"/>
      <c r="Q76" s="4"/>
      <c r="R76" s="4"/>
      <c r="S76" s="4"/>
      <c r="T76" s="4"/>
      <c r="U76" s="4"/>
      <c r="V76" s="4"/>
      <c r="W76" s="4"/>
      <c r="X76" s="4"/>
      <c r="Y76" s="8" t="s">
        <v>4</v>
      </c>
      <c r="Z76" s="9">
        <v>2122</v>
      </c>
      <c r="AA76" s="4"/>
      <c r="AB76" s="4"/>
    </row>
    <row r="77" spans="2:32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7" t="s">
        <v>5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E77" s="31" t="s">
        <v>157</v>
      </c>
    </row>
    <row r="78" spans="2:32" x14ac:dyDescent="0.25">
      <c r="AE78" s="162">
        <v>44002</v>
      </c>
      <c r="AF78" s="163" t="s">
        <v>168</v>
      </c>
    </row>
    <row r="79" spans="2:32" ht="49.5" customHeight="1" outlineLevel="1" x14ac:dyDescent="0.25">
      <c r="B79" s="10" t="s">
        <v>6</v>
      </c>
      <c r="C79" s="10" t="s">
        <v>7</v>
      </c>
      <c r="D79" s="11" t="s">
        <v>8</v>
      </c>
      <c r="E79" s="10" t="s">
        <v>9</v>
      </c>
      <c r="F79" s="10" t="s">
        <v>10</v>
      </c>
      <c r="G79" s="10" t="s">
        <v>11</v>
      </c>
      <c r="H79" s="10" t="s">
        <v>12</v>
      </c>
      <c r="I79" s="10" t="s">
        <v>13</v>
      </c>
      <c r="J79" s="10" t="s">
        <v>14</v>
      </c>
      <c r="K79" s="42" t="s">
        <v>415</v>
      </c>
      <c r="L79" s="42" t="s">
        <v>415</v>
      </c>
      <c r="M79" s="47" t="s">
        <v>88</v>
      </c>
      <c r="N79" s="10" t="s">
        <v>15</v>
      </c>
      <c r="O79" s="10" t="s">
        <v>16</v>
      </c>
      <c r="P79" s="10" t="s">
        <v>17</v>
      </c>
      <c r="Q79" s="10" t="s">
        <v>18</v>
      </c>
      <c r="R79" s="10" t="s">
        <v>19</v>
      </c>
      <c r="S79" s="10" t="s">
        <v>20</v>
      </c>
      <c r="T79" s="10" t="s">
        <v>21</v>
      </c>
      <c r="U79" s="10" t="s">
        <v>22</v>
      </c>
      <c r="V79" s="10" t="s">
        <v>23</v>
      </c>
      <c r="W79" s="10" t="s">
        <v>24</v>
      </c>
      <c r="X79" s="10" t="s">
        <v>25</v>
      </c>
      <c r="Y79" s="10" t="s">
        <v>26</v>
      </c>
      <c r="Z79" s="10" t="s">
        <v>27</v>
      </c>
      <c r="AA79" s="458" t="s">
        <v>28</v>
      </c>
      <c r="AB79" s="10" t="s">
        <v>29</v>
      </c>
      <c r="AC79" s="12"/>
      <c r="AD79" s="12"/>
      <c r="AE79" s="154" t="s">
        <v>21</v>
      </c>
    </row>
    <row r="80" spans="2:32" s="13" customFormat="1" ht="37.5" customHeight="1" outlineLevel="1" x14ac:dyDescent="0.2">
      <c r="B80" s="14" t="s">
        <v>30</v>
      </c>
      <c r="C80" s="14" t="s">
        <v>31</v>
      </c>
      <c r="D80" s="14" t="s">
        <v>32</v>
      </c>
      <c r="E80" s="14" t="s">
        <v>33</v>
      </c>
      <c r="F80" s="14" t="s">
        <v>34</v>
      </c>
      <c r="G80" s="14" t="s">
        <v>35</v>
      </c>
      <c r="H80" s="14" t="s">
        <v>36</v>
      </c>
      <c r="I80" s="14" t="s">
        <v>37</v>
      </c>
      <c r="J80" s="14" t="s">
        <v>38</v>
      </c>
      <c r="K80" s="52"/>
      <c r="L80" s="52"/>
      <c r="M80" s="53"/>
      <c r="N80" s="14" t="s">
        <v>39</v>
      </c>
      <c r="O80" s="14" t="s">
        <v>40</v>
      </c>
      <c r="P80" s="14" t="s">
        <v>41</v>
      </c>
      <c r="Q80" s="14" t="s">
        <v>42</v>
      </c>
      <c r="R80" s="14" t="s">
        <v>43</v>
      </c>
      <c r="S80" s="14" t="s">
        <v>44</v>
      </c>
      <c r="T80" s="14" t="s">
        <v>45</v>
      </c>
      <c r="U80" s="14" t="s">
        <v>46</v>
      </c>
      <c r="V80" s="14" t="s">
        <v>47</v>
      </c>
      <c r="W80" s="14" t="s">
        <v>48</v>
      </c>
      <c r="X80" s="14" t="s">
        <v>49</v>
      </c>
      <c r="Y80" s="14" t="s">
        <v>50</v>
      </c>
      <c r="Z80" s="14" t="s">
        <v>51</v>
      </c>
      <c r="AA80" s="14" t="s">
        <v>52</v>
      </c>
      <c r="AB80" s="14" t="s">
        <v>53</v>
      </c>
      <c r="AC80" s="228" t="s">
        <v>254</v>
      </c>
    </row>
    <row r="81" spans="1:32" outlineLevel="1" x14ac:dyDescent="0.25">
      <c r="A81" s="5">
        <v>1</v>
      </c>
      <c r="B81" s="15">
        <v>2020</v>
      </c>
      <c r="C81" s="15">
        <v>6</v>
      </c>
      <c r="D81" s="16">
        <v>4380924010</v>
      </c>
      <c r="E81" s="17" t="s">
        <v>54</v>
      </c>
      <c r="F81" s="17" t="s">
        <v>55</v>
      </c>
      <c r="G81" s="17" t="s">
        <v>56</v>
      </c>
      <c r="H81" s="17">
        <v>4380924</v>
      </c>
      <c r="I81" s="18" t="s">
        <v>57</v>
      </c>
      <c r="J81" s="15" t="s">
        <v>58</v>
      </c>
      <c r="K81" s="43"/>
      <c r="L81" s="43"/>
      <c r="M81" s="48">
        <v>11000</v>
      </c>
      <c r="N81" s="437">
        <f>+N10+N32+N57</f>
        <v>33000</v>
      </c>
      <c r="O81" s="437">
        <f t="shared" ref="O81:U81" si="59">+O10+O32+O57</f>
        <v>12732</v>
      </c>
      <c r="P81" s="437">
        <f t="shared" si="59"/>
        <v>20268</v>
      </c>
      <c r="Q81" s="437">
        <f t="shared" si="59"/>
        <v>2634</v>
      </c>
      <c r="R81" s="437">
        <f t="shared" si="59"/>
        <v>1655.16</v>
      </c>
      <c r="S81" s="437">
        <f t="shared" si="59"/>
        <v>978.83999999999992</v>
      </c>
      <c r="T81" s="437">
        <f t="shared" si="59"/>
        <v>900</v>
      </c>
      <c r="U81" s="437">
        <f t="shared" si="59"/>
        <v>326.27999999999997</v>
      </c>
      <c r="V81" s="437">
        <f>+V10+V32+V57</f>
        <v>247.44000000000005</v>
      </c>
      <c r="W81" s="529">
        <f>+W10</f>
        <v>45</v>
      </c>
      <c r="X81" s="437">
        <f>+X10+X32+X57</f>
        <v>0</v>
      </c>
      <c r="Y81" s="454">
        <f t="shared" ref="Y81:Y90" si="60">W81+X81</f>
        <v>45</v>
      </c>
      <c r="Z81" s="434">
        <f t="shared" ref="Z81:Z90" si="61">IF(Y81&lt;=U81,Y81,U81)</f>
        <v>45</v>
      </c>
      <c r="AA81" s="459">
        <f>IF(U81&gt;=Z81,U81-Z81,0)</f>
        <v>281.27999999999997</v>
      </c>
      <c r="AB81" s="454">
        <f t="shared" ref="AB81:AB90" si="62">IF((V81+Y81)&gt;Z81,(V81+Y81)-Z81,0)</f>
        <v>247.44000000000005</v>
      </c>
      <c r="AE81" s="19">
        <v>450</v>
      </c>
    </row>
    <row r="82" spans="1:32" ht="14.25" customHeight="1" outlineLevel="1" x14ac:dyDescent="0.25">
      <c r="A82" s="5">
        <v>2</v>
      </c>
      <c r="B82" s="22">
        <f>+B81</f>
        <v>2020</v>
      </c>
      <c r="C82" s="22">
        <f>+C81</f>
        <v>6</v>
      </c>
      <c r="D82" s="23">
        <v>3887474011</v>
      </c>
      <c r="E82" s="24" t="s">
        <v>59</v>
      </c>
      <c r="F82" s="24" t="s">
        <v>60</v>
      </c>
      <c r="G82" s="24" t="s">
        <v>60</v>
      </c>
      <c r="H82" s="24">
        <v>3887474</v>
      </c>
      <c r="I82" s="22" t="s">
        <v>57</v>
      </c>
      <c r="J82" s="22" t="s">
        <v>58</v>
      </c>
      <c r="K82" s="44"/>
      <c r="L82" s="44"/>
      <c r="M82" s="49">
        <v>3500</v>
      </c>
      <c r="N82" s="438">
        <f t="shared" ref="N82:V90" si="63">+N11+N33+N58</f>
        <v>10500</v>
      </c>
      <c r="O82" s="438">
        <f>+O11+O33+O58</f>
        <v>10500</v>
      </c>
      <c r="P82" s="438">
        <f t="shared" si="63"/>
        <v>0</v>
      </c>
      <c r="Q82" s="438">
        <f t="shared" si="63"/>
        <v>0</v>
      </c>
      <c r="R82" s="438">
        <f t="shared" si="63"/>
        <v>0</v>
      </c>
      <c r="S82" s="438">
        <f t="shared" si="63"/>
        <v>0</v>
      </c>
      <c r="T82" s="438">
        <f t="shared" si="63"/>
        <v>0</v>
      </c>
      <c r="U82" s="438">
        <f t="shared" si="63"/>
        <v>0</v>
      </c>
      <c r="V82" s="438">
        <f t="shared" si="63"/>
        <v>0</v>
      </c>
      <c r="W82" s="530">
        <f t="shared" ref="W82:W90" si="64">+W11</f>
        <v>30</v>
      </c>
      <c r="X82" s="438">
        <f t="shared" ref="X82" si="65">+X11+X33+X58</f>
        <v>0</v>
      </c>
      <c r="Y82" s="455">
        <f t="shared" si="60"/>
        <v>30</v>
      </c>
      <c r="Z82" s="435">
        <f t="shared" si="61"/>
        <v>0</v>
      </c>
      <c r="AA82" s="460">
        <f t="shared" ref="AA82:AA90" si="66">IF(U82&gt;=Z82,U82-Z82,0)</f>
        <v>0</v>
      </c>
      <c r="AB82" s="455">
        <f t="shared" si="62"/>
        <v>30</v>
      </c>
      <c r="AE82" s="25"/>
    </row>
    <row r="83" spans="1:32" s="38" customFormat="1" outlineLevel="1" x14ac:dyDescent="0.25">
      <c r="A83" s="5">
        <v>3</v>
      </c>
      <c r="B83" s="32">
        <f t="shared" ref="B83:C88" si="67">+B82</f>
        <v>2020</v>
      </c>
      <c r="C83" s="32">
        <f>+C82</f>
        <v>6</v>
      </c>
      <c r="D83" s="33">
        <v>4570616017</v>
      </c>
      <c r="E83" s="34" t="s">
        <v>62</v>
      </c>
      <c r="F83" s="34" t="s">
        <v>63</v>
      </c>
      <c r="G83" s="34" t="s">
        <v>64</v>
      </c>
      <c r="H83" s="34">
        <v>2345678</v>
      </c>
      <c r="I83" s="35" t="s">
        <v>57</v>
      </c>
      <c r="J83" s="32" t="s">
        <v>58</v>
      </c>
      <c r="K83" s="45"/>
      <c r="L83" s="45"/>
      <c r="M83" s="50">
        <v>7000</v>
      </c>
      <c r="N83" s="438">
        <f t="shared" si="63"/>
        <v>21000</v>
      </c>
      <c r="O83" s="438">
        <f t="shared" si="63"/>
        <v>4244</v>
      </c>
      <c r="P83" s="438">
        <f t="shared" si="63"/>
        <v>16756</v>
      </c>
      <c r="Q83" s="438">
        <f t="shared" si="63"/>
        <v>2178</v>
      </c>
      <c r="R83" s="438">
        <f t="shared" si="63"/>
        <v>1461.44</v>
      </c>
      <c r="S83" s="438">
        <f t="shared" si="63"/>
        <v>716.56</v>
      </c>
      <c r="T83" s="438">
        <f t="shared" si="63"/>
        <v>0</v>
      </c>
      <c r="U83" s="438">
        <f t="shared" si="63"/>
        <v>716.56</v>
      </c>
      <c r="V83" s="438">
        <f t="shared" si="63"/>
        <v>0</v>
      </c>
      <c r="W83" s="530">
        <f t="shared" si="64"/>
        <v>800</v>
      </c>
      <c r="X83" s="438">
        <f t="shared" ref="X83" si="68">+X12+X34+X59</f>
        <v>2</v>
      </c>
      <c r="Y83" s="455">
        <f t="shared" si="60"/>
        <v>802</v>
      </c>
      <c r="Z83" s="435">
        <f t="shared" si="61"/>
        <v>716.56</v>
      </c>
      <c r="AA83" s="460">
        <f t="shared" si="66"/>
        <v>0</v>
      </c>
      <c r="AB83" s="455">
        <f t="shared" si="62"/>
        <v>85.440000000000055</v>
      </c>
      <c r="AC83" s="425" t="s">
        <v>439</v>
      </c>
      <c r="AD83" s="440" t="s">
        <v>440</v>
      </c>
      <c r="AE83" s="36"/>
    </row>
    <row r="84" spans="1:32" outlineLevel="1" x14ac:dyDescent="0.25">
      <c r="A84" s="5">
        <v>4</v>
      </c>
      <c r="B84" s="22">
        <f t="shared" si="67"/>
        <v>2020</v>
      </c>
      <c r="C84" s="22">
        <f>+C83</f>
        <v>6</v>
      </c>
      <c r="D84" s="23">
        <v>4466790012</v>
      </c>
      <c r="E84" s="24" t="s">
        <v>65</v>
      </c>
      <c r="F84" s="24" t="s">
        <v>66</v>
      </c>
      <c r="G84" s="24" t="s">
        <v>67</v>
      </c>
      <c r="H84" s="24">
        <v>4466790</v>
      </c>
      <c r="I84" s="22" t="s">
        <v>57</v>
      </c>
      <c r="J84" s="22" t="s">
        <v>58</v>
      </c>
      <c r="K84" s="46"/>
      <c r="L84" s="46"/>
      <c r="M84" s="51">
        <v>12000</v>
      </c>
      <c r="N84" s="438">
        <f t="shared" si="63"/>
        <v>36000</v>
      </c>
      <c r="O84" s="438">
        <f t="shared" si="63"/>
        <v>12732</v>
      </c>
      <c r="P84" s="438">
        <f t="shared" si="63"/>
        <v>23268</v>
      </c>
      <c r="Q84" s="438">
        <f t="shared" si="63"/>
        <v>3024</v>
      </c>
      <c r="R84" s="438">
        <f t="shared" si="63"/>
        <v>1655.16</v>
      </c>
      <c r="S84" s="438">
        <f t="shared" si="63"/>
        <v>1368.84</v>
      </c>
      <c r="T84" s="438">
        <f t="shared" si="63"/>
        <v>750</v>
      </c>
      <c r="U84" s="438">
        <f t="shared" si="63"/>
        <v>618.83999999999992</v>
      </c>
      <c r="V84" s="438">
        <f t="shared" si="63"/>
        <v>0</v>
      </c>
      <c r="W84" s="530">
        <f t="shared" si="64"/>
        <v>100</v>
      </c>
      <c r="X84" s="438">
        <f t="shared" ref="X84" si="69">+X13+X35+X60</f>
        <v>0</v>
      </c>
      <c r="Y84" s="455">
        <f t="shared" si="60"/>
        <v>100</v>
      </c>
      <c r="Z84" s="435">
        <f t="shared" si="61"/>
        <v>100</v>
      </c>
      <c r="AA84" s="460">
        <f t="shared" si="66"/>
        <v>518.83999999999992</v>
      </c>
      <c r="AB84" s="455">
        <f t="shared" si="62"/>
        <v>0</v>
      </c>
      <c r="AC84" s="426" t="s">
        <v>439</v>
      </c>
      <c r="AD84" s="453" t="s">
        <v>441</v>
      </c>
      <c r="AE84" s="25">
        <v>450</v>
      </c>
    </row>
    <row r="85" spans="1:32" outlineLevel="1" x14ac:dyDescent="0.25">
      <c r="A85" s="5">
        <v>5</v>
      </c>
      <c r="B85" s="22">
        <f t="shared" si="67"/>
        <v>2020</v>
      </c>
      <c r="C85" s="22">
        <f t="shared" si="67"/>
        <v>6</v>
      </c>
      <c r="D85" s="23">
        <v>4466791013</v>
      </c>
      <c r="E85" s="24" t="s">
        <v>68</v>
      </c>
      <c r="F85" s="24" t="s">
        <v>60</v>
      </c>
      <c r="G85" s="24" t="s">
        <v>69</v>
      </c>
      <c r="H85" s="24">
        <v>4466791</v>
      </c>
      <c r="I85" s="22" t="s">
        <v>57</v>
      </c>
      <c r="J85" s="22" t="s">
        <v>58</v>
      </c>
      <c r="K85" s="46"/>
      <c r="L85" s="46"/>
      <c r="M85" s="51">
        <v>15000</v>
      </c>
      <c r="N85" s="438">
        <f t="shared" si="63"/>
        <v>45000</v>
      </c>
      <c r="O85" s="438">
        <f t="shared" si="63"/>
        <v>12732</v>
      </c>
      <c r="P85" s="438">
        <f t="shared" si="63"/>
        <v>32268</v>
      </c>
      <c r="Q85" s="438">
        <f t="shared" si="63"/>
        <v>4194</v>
      </c>
      <c r="R85" s="438">
        <f t="shared" si="63"/>
        <v>1655.16</v>
      </c>
      <c r="S85" s="438">
        <f t="shared" si="63"/>
        <v>2538.84</v>
      </c>
      <c r="T85" s="438">
        <f t="shared" si="63"/>
        <v>800</v>
      </c>
      <c r="U85" s="438">
        <f t="shared" si="63"/>
        <v>1738.84</v>
      </c>
      <c r="V85" s="438">
        <f t="shared" si="63"/>
        <v>0</v>
      </c>
      <c r="W85" s="530">
        <f t="shared" si="64"/>
        <v>60</v>
      </c>
      <c r="X85" s="438">
        <f t="shared" ref="X85" si="70">+X14+X36+X61</f>
        <v>0</v>
      </c>
      <c r="Y85" s="455">
        <f t="shared" si="60"/>
        <v>60</v>
      </c>
      <c r="Z85" s="435">
        <f t="shared" si="61"/>
        <v>60</v>
      </c>
      <c r="AA85" s="460">
        <f t="shared" si="66"/>
        <v>1678.84</v>
      </c>
      <c r="AB85" s="455">
        <f t="shared" si="62"/>
        <v>0</v>
      </c>
      <c r="AC85" s="428" t="s">
        <v>439</v>
      </c>
      <c r="AD85" s="457" t="s">
        <v>442</v>
      </c>
      <c r="AE85" s="25">
        <v>500</v>
      </c>
    </row>
    <row r="86" spans="1:32" outlineLevel="1" x14ac:dyDescent="0.25">
      <c r="A86" s="5">
        <v>6</v>
      </c>
      <c r="B86" s="22">
        <f t="shared" si="67"/>
        <v>2020</v>
      </c>
      <c r="C86" s="22">
        <f t="shared" si="67"/>
        <v>6</v>
      </c>
      <c r="D86" s="23">
        <v>4466792010</v>
      </c>
      <c r="E86" s="24" t="s">
        <v>70</v>
      </c>
      <c r="F86" s="24" t="s">
        <v>71</v>
      </c>
      <c r="G86" s="24" t="s">
        <v>72</v>
      </c>
      <c r="H86" s="24">
        <v>4466792</v>
      </c>
      <c r="I86" s="22" t="s">
        <v>57</v>
      </c>
      <c r="J86" s="22" t="s">
        <v>58</v>
      </c>
      <c r="K86" s="46"/>
      <c r="L86" s="46"/>
      <c r="M86" s="51">
        <v>22000</v>
      </c>
      <c r="N86" s="438">
        <f t="shared" si="63"/>
        <v>66000</v>
      </c>
      <c r="O86" s="438">
        <f t="shared" si="63"/>
        <v>12732</v>
      </c>
      <c r="P86" s="438">
        <f t="shared" si="63"/>
        <v>53268</v>
      </c>
      <c r="Q86" s="438">
        <f t="shared" si="63"/>
        <v>6924</v>
      </c>
      <c r="R86" s="438">
        <f t="shared" si="63"/>
        <v>1655.16</v>
      </c>
      <c r="S86" s="438">
        <f t="shared" si="63"/>
        <v>5268.84</v>
      </c>
      <c r="T86" s="438">
        <f t="shared" si="63"/>
        <v>1600</v>
      </c>
      <c r="U86" s="438">
        <f t="shared" si="63"/>
        <v>3668.84</v>
      </c>
      <c r="V86" s="438">
        <f t="shared" si="63"/>
        <v>0</v>
      </c>
      <c r="W86" s="530">
        <f t="shared" si="64"/>
        <v>2000</v>
      </c>
      <c r="X86" s="438">
        <f t="shared" ref="X86" si="71">+X15+X37+X62</f>
        <v>2</v>
      </c>
      <c r="Y86" s="455">
        <f t="shared" si="60"/>
        <v>2002</v>
      </c>
      <c r="Z86" s="435">
        <f t="shared" si="61"/>
        <v>2002</v>
      </c>
      <c r="AA86" s="460">
        <f t="shared" si="66"/>
        <v>1666.8400000000001</v>
      </c>
      <c r="AB86" s="455">
        <f t="shared" si="62"/>
        <v>0</v>
      </c>
      <c r="AE86" s="25"/>
    </row>
    <row r="87" spans="1:32" outlineLevel="1" x14ac:dyDescent="0.25">
      <c r="A87" s="5">
        <v>7</v>
      </c>
      <c r="B87" s="22">
        <f t="shared" si="67"/>
        <v>2020</v>
      </c>
      <c r="C87" s="22">
        <f t="shared" si="67"/>
        <v>6</v>
      </c>
      <c r="D87" s="23">
        <v>4466793017</v>
      </c>
      <c r="E87" s="24" t="s">
        <v>73</v>
      </c>
      <c r="F87" s="24" t="s">
        <v>72</v>
      </c>
      <c r="G87" s="24" t="s">
        <v>72</v>
      </c>
      <c r="H87" s="24">
        <v>4466793</v>
      </c>
      <c r="I87" s="22" t="s">
        <v>57</v>
      </c>
      <c r="J87" s="22" t="s">
        <v>58</v>
      </c>
      <c r="K87" s="46"/>
      <c r="L87" s="46"/>
      <c r="M87" s="51">
        <v>18000</v>
      </c>
      <c r="N87" s="438">
        <f t="shared" si="63"/>
        <v>54000</v>
      </c>
      <c r="O87" s="438">
        <f t="shared" si="63"/>
        <v>12732</v>
      </c>
      <c r="P87" s="438">
        <f t="shared" si="63"/>
        <v>41268</v>
      </c>
      <c r="Q87" s="438">
        <f t="shared" si="63"/>
        <v>5364</v>
      </c>
      <c r="R87" s="438">
        <f t="shared" si="63"/>
        <v>1655.16</v>
      </c>
      <c r="S87" s="438">
        <f t="shared" si="63"/>
        <v>3708.84</v>
      </c>
      <c r="T87" s="438">
        <f t="shared" si="63"/>
        <v>1100</v>
      </c>
      <c r="U87" s="438">
        <f t="shared" si="63"/>
        <v>2608.84</v>
      </c>
      <c r="V87" s="438">
        <f t="shared" si="63"/>
        <v>0</v>
      </c>
      <c r="W87" s="530">
        <f t="shared" si="64"/>
        <v>0</v>
      </c>
      <c r="X87" s="438">
        <f t="shared" ref="X87" si="72">+X16+X38+X63</f>
        <v>0</v>
      </c>
      <c r="Y87" s="455">
        <f t="shared" si="60"/>
        <v>0</v>
      </c>
      <c r="Z87" s="435">
        <f t="shared" si="61"/>
        <v>0</v>
      </c>
      <c r="AA87" s="460">
        <f t="shared" si="66"/>
        <v>2608.84</v>
      </c>
      <c r="AB87" s="455">
        <f t="shared" si="62"/>
        <v>0</v>
      </c>
      <c r="AE87" s="25">
        <v>300</v>
      </c>
    </row>
    <row r="88" spans="1:32" outlineLevel="1" x14ac:dyDescent="0.25">
      <c r="A88" s="5">
        <v>8</v>
      </c>
      <c r="B88" s="22">
        <f t="shared" si="67"/>
        <v>2020</v>
      </c>
      <c r="C88" s="22">
        <f t="shared" si="67"/>
        <v>6</v>
      </c>
      <c r="D88" s="23">
        <v>4466795019</v>
      </c>
      <c r="E88" s="24" t="s">
        <v>74</v>
      </c>
      <c r="F88" s="24" t="s">
        <v>75</v>
      </c>
      <c r="G88" s="24" t="s">
        <v>76</v>
      </c>
      <c r="H88" s="24">
        <v>4466795</v>
      </c>
      <c r="I88" s="22" t="s">
        <v>57</v>
      </c>
      <c r="J88" s="22" t="s">
        <v>58</v>
      </c>
      <c r="K88" s="46"/>
      <c r="L88" s="46"/>
      <c r="M88" s="51">
        <v>8000</v>
      </c>
      <c r="N88" s="438">
        <f t="shared" si="63"/>
        <v>24000</v>
      </c>
      <c r="O88" s="438">
        <f t="shared" si="63"/>
        <v>12732</v>
      </c>
      <c r="P88" s="438">
        <f t="shared" si="63"/>
        <v>11268</v>
      </c>
      <c r="Q88" s="438">
        <f t="shared" si="63"/>
        <v>1464</v>
      </c>
      <c r="R88" s="438">
        <f t="shared" si="63"/>
        <v>1464</v>
      </c>
      <c r="S88" s="438">
        <f t="shared" si="63"/>
        <v>0</v>
      </c>
      <c r="T88" s="438">
        <f t="shared" si="63"/>
        <v>0</v>
      </c>
      <c r="U88" s="438">
        <f t="shared" si="63"/>
        <v>0</v>
      </c>
      <c r="V88" s="438">
        <f t="shared" si="63"/>
        <v>0</v>
      </c>
      <c r="W88" s="530">
        <f t="shared" si="64"/>
        <v>0</v>
      </c>
      <c r="X88" s="438">
        <f t="shared" ref="X88" si="73">+X17+X39+X64</f>
        <v>0</v>
      </c>
      <c r="Y88" s="455">
        <f t="shared" si="60"/>
        <v>0</v>
      </c>
      <c r="Z88" s="435">
        <f t="shared" si="61"/>
        <v>0</v>
      </c>
      <c r="AA88" s="460">
        <f t="shared" si="66"/>
        <v>0</v>
      </c>
      <c r="AB88" s="455">
        <f t="shared" si="62"/>
        <v>0</v>
      </c>
      <c r="AE88" s="25"/>
    </row>
    <row r="89" spans="1:32" outlineLevel="1" x14ac:dyDescent="0.25">
      <c r="B89" s="22"/>
      <c r="C89" s="22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438">
        <f t="shared" si="63"/>
        <v>0</v>
      </c>
      <c r="O89" s="438">
        <f t="shared" si="63"/>
        <v>0</v>
      </c>
      <c r="P89" s="438">
        <f t="shared" si="63"/>
        <v>0</v>
      </c>
      <c r="Q89" s="438">
        <f t="shared" si="63"/>
        <v>0</v>
      </c>
      <c r="R89" s="438">
        <f t="shared" si="63"/>
        <v>0</v>
      </c>
      <c r="S89" s="438">
        <f t="shared" si="63"/>
        <v>0</v>
      </c>
      <c r="T89" s="438">
        <f t="shared" si="63"/>
        <v>0</v>
      </c>
      <c r="U89" s="438">
        <f t="shared" si="63"/>
        <v>0</v>
      </c>
      <c r="V89" s="438">
        <f t="shared" si="63"/>
        <v>0</v>
      </c>
      <c r="W89" s="530">
        <f t="shared" si="64"/>
        <v>0</v>
      </c>
      <c r="X89" s="438">
        <f t="shared" ref="X89" si="74">+X18+X40+X65</f>
        <v>0</v>
      </c>
      <c r="Y89" s="455">
        <f t="shared" si="60"/>
        <v>0</v>
      </c>
      <c r="Z89" s="435">
        <f t="shared" si="61"/>
        <v>0</v>
      </c>
      <c r="AA89" s="460">
        <f t="shared" si="66"/>
        <v>0</v>
      </c>
      <c r="AB89" s="455">
        <f t="shared" si="62"/>
        <v>0</v>
      </c>
      <c r="AE89" s="25"/>
    </row>
    <row r="90" spans="1:32" outlineLevel="1" x14ac:dyDescent="0.25">
      <c r="B90" s="26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439">
        <f t="shared" si="63"/>
        <v>0</v>
      </c>
      <c r="O90" s="439">
        <f t="shared" si="63"/>
        <v>0</v>
      </c>
      <c r="P90" s="439">
        <f t="shared" si="63"/>
        <v>0</v>
      </c>
      <c r="Q90" s="439">
        <f t="shared" si="63"/>
        <v>0</v>
      </c>
      <c r="R90" s="439">
        <f t="shared" si="63"/>
        <v>0</v>
      </c>
      <c r="S90" s="439">
        <f t="shared" si="63"/>
        <v>0</v>
      </c>
      <c r="T90" s="439">
        <f t="shared" si="63"/>
        <v>0</v>
      </c>
      <c r="U90" s="439">
        <f t="shared" si="63"/>
        <v>0</v>
      </c>
      <c r="V90" s="439">
        <f t="shared" si="63"/>
        <v>0</v>
      </c>
      <c r="W90" s="531">
        <f t="shared" si="64"/>
        <v>0</v>
      </c>
      <c r="X90" s="439">
        <f t="shared" ref="X90" si="75">+X19+X41+X66</f>
        <v>0</v>
      </c>
      <c r="Y90" s="454">
        <f t="shared" si="60"/>
        <v>0</v>
      </c>
      <c r="Z90" s="436">
        <f t="shared" si="61"/>
        <v>0</v>
      </c>
      <c r="AA90" s="461">
        <f t="shared" si="66"/>
        <v>0</v>
      </c>
      <c r="AB90" s="456">
        <f t="shared" si="62"/>
        <v>0</v>
      </c>
      <c r="AE90" s="21"/>
    </row>
    <row r="91" spans="1:32" s="1" customFormat="1" outlineLevel="1" x14ac:dyDescent="0.25">
      <c r="I91" s="1" t="s">
        <v>77</v>
      </c>
      <c r="N91" s="29">
        <f t="shared" ref="N91:Z91" si="76">SUM(N81:N90)</f>
        <v>289500</v>
      </c>
      <c r="O91" s="29">
        <f t="shared" si="76"/>
        <v>91136</v>
      </c>
      <c r="P91" s="29">
        <f t="shared" si="76"/>
        <v>198364</v>
      </c>
      <c r="Q91" s="29">
        <f t="shared" si="76"/>
        <v>25782</v>
      </c>
      <c r="R91" s="29">
        <f t="shared" si="76"/>
        <v>11201.24</v>
      </c>
      <c r="S91" s="29">
        <f t="shared" si="76"/>
        <v>14580.76</v>
      </c>
      <c r="T91" s="30">
        <f t="shared" si="76"/>
        <v>5150</v>
      </c>
      <c r="U91" s="30">
        <f t="shared" si="76"/>
        <v>9678.2000000000007</v>
      </c>
      <c r="V91" s="30">
        <f t="shared" si="76"/>
        <v>247.44000000000005</v>
      </c>
      <c r="W91" s="532">
        <f>SUM(W81:W90)</f>
        <v>3035</v>
      </c>
      <c r="X91" s="30">
        <f t="shared" si="76"/>
        <v>4</v>
      </c>
      <c r="Y91" s="30">
        <f t="shared" si="76"/>
        <v>3039</v>
      </c>
      <c r="Z91" s="30">
        <f t="shared" si="76"/>
        <v>2923.56</v>
      </c>
      <c r="AA91" s="429">
        <f>SUM(AA81:AA90)</f>
        <v>6754.64</v>
      </c>
      <c r="AB91" s="30">
        <f>SUM(AB81:AB90)</f>
        <v>362.88000000000011</v>
      </c>
      <c r="AE91" s="30">
        <f t="shared" ref="AE91" si="77">SUM(AE81:AE90)</f>
        <v>1700</v>
      </c>
      <c r="AF91" s="1">
        <f>COUNT(AE81:AE90)</f>
        <v>4</v>
      </c>
    </row>
    <row r="92" spans="1:32" ht="15.75" customHeight="1" outlineLevel="1" x14ac:dyDescent="0.25">
      <c r="N92" s="442">
        <f t="shared" ref="N92:X92" si="78">+N67+N42+N20</f>
        <v>289500</v>
      </c>
      <c r="O92" s="442">
        <f t="shared" si="78"/>
        <v>91136</v>
      </c>
      <c r="P92" s="442">
        <f t="shared" si="78"/>
        <v>198364</v>
      </c>
      <c r="Q92" s="442">
        <f t="shared" si="78"/>
        <v>25782</v>
      </c>
      <c r="R92" s="442">
        <f t="shared" si="78"/>
        <v>11201.240000000002</v>
      </c>
      <c r="S92" s="442">
        <f t="shared" si="78"/>
        <v>14580.759999999998</v>
      </c>
      <c r="T92" s="442">
        <f t="shared" si="78"/>
        <v>5150</v>
      </c>
      <c r="U92" s="442">
        <f t="shared" si="78"/>
        <v>9678.1999999999989</v>
      </c>
      <c r="V92" s="442">
        <f t="shared" si="78"/>
        <v>247.44000000000005</v>
      </c>
      <c r="W92" s="533">
        <f t="shared" si="78"/>
        <v>4082.04</v>
      </c>
      <c r="X92" s="442">
        <f t="shared" si="78"/>
        <v>4</v>
      </c>
      <c r="Y92" s="443">
        <f>+Y67+Y42+Y20</f>
        <v>4086.04</v>
      </c>
      <c r="Z92" s="442">
        <f t="shared" ref="Z92:AB92" si="79">+Z67+Z42+Z20</f>
        <v>2923.56</v>
      </c>
      <c r="AA92" s="442">
        <f t="shared" si="79"/>
        <v>6754.6399999999994</v>
      </c>
      <c r="AB92" s="443">
        <f t="shared" si="79"/>
        <v>1409.9200000000003</v>
      </c>
    </row>
    <row r="93" spans="1:32" ht="15.75" customHeight="1" outlineLevel="1" x14ac:dyDescent="0.25">
      <c r="I93" s="374"/>
      <c r="J93" s="375"/>
      <c r="K93" s="376"/>
      <c r="L93" s="376"/>
      <c r="M93" s="377" t="s">
        <v>224</v>
      </c>
      <c r="N93" s="378">
        <v>13</v>
      </c>
      <c r="O93" s="377">
        <v>26</v>
      </c>
      <c r="P93" s="377">
        <v>27</v>
      </c>
      <c r="Q93" s="377">
        <v>2000</v>
      </c>
      <c r="R93" s="377">
        <v>215</v>
      </c>
      <c r="S93" s="377">
        <v>1215</v>
      </c>
      <c r="T93" s="377">
        <v>202</v>
      </c>
      <c r="U93" s="377">
        <v>2001</v>
      </c>
      <c r="V93" s="377">
        <v>634</v>
      </c>
      <c r="W93" s="378">
        <v>635</v>
      </c>
      <c r="X93" s="377">
        <v>648</v>
      </c>
      <c r="Y93" s="377">
        <v>649</v>
      </c>
      <c r="Z93" s="377">
        <v>650</v>
      </c>
      <c r="AA93" s="377">
        <v>909</v>
      </c>
      <c r="AB93" s="377">
        <v>592</v>
      </c>
    </row>
    <row r="94" spans="1:32" ht="15.75" customHeight="1" x14ac:dyDescent="0.25">
      <c r="N94" s="217">
        <f>+N91</f>
        <v>289500</v>
      </c>
      <c r="O94" s="217">
        <f t="shared" ref="O94:AB94" si="80">+O91</f>
        <v>91136</v>
      </c>
      <c r="P94" s="217">
        <f t="shared" si="80"/>
        <v>198364</v>
      </c>
      <c r="Q94" s="217">
        <f t="shared" si="80"/>
        <v>25782</v>
      </c>
      <c r="R94" s="217">
        <f t="shared" si="80"/>
        <v>11201.24</v>
      </c>
      <c r="S94" s="217">
        <f t="shared" si="80"/>
        <v>14580.76</v>
      </c>
      <c r="T94" s="217">
        <f t="shared" si="80"/>
        <v>5150</v>
      </c>
      <c r="U94" s="217">
        <f t="shared" si="80"/>
        <v>9678.2000000000007</v>
      </c>
      <c r="V94" s="217">
        <f t="shared" si="80"/>
        <v>247.44000000000005</v>
      </c>
      <c r="W94" s="217">
        <f t="shared" si="80"/>
        <v>3035</v>
      </c>
      <c r="X94" s="217">
        <f t="shared" si="80"/>
        <v>4</v>
      </c>
      <c r="Y94" s="217">
        <f t="shared" si="80"/>
        <v>3039</v>
      </c>
      <c r="Z94" s="217">
        <f t="shared" si="80"/>
        <v>2923.56</v>
      </c>
      <c r="AA94" s="217">
        <f t="shared" si="80"/>
        <v>6754.64</v>
      </c>
      <c r="AB94" s="217">
        <f t="shared" si="80"/>
        <v>362.88000000000011</v>
      </c>
    </row>
    <row r="95" spans="1:32" ht="15.75" customHeight="1" x14ac:dyDescent="0.25"/>
    <row r="96" spans="1:32" ht="15.75" customHeight="1" x14ac:dyDescent="0.25"/>
    <row r="97" spans="1:32" ht="15.75" customHeight="1" x14ac:dyDescent="0.25"/>
    <row r="98" spans="1:32" x14ac:dyDescent="0.25">
      <c r="B98" s="2" t="s">
        <v>86</v>
      </c>
      <c r="Y98" s="1" t="s">
        <v>0</v>
      </c>
      <c r="Z98" s="3">
        <f>+Z74</f>
        <v>2.3500866666666664</v>
      </c>
      <c r="AA98" s="319">
        <v>43980</v>
      </c>
      <c r="AB98" s="320" t="str">
        <f>TEXT((WEEKDAY(AA98)),"dddd")</f>
        <v>viernes</v>
      </c>
    </row>
    <row r="99" spans="1:32" x14ac:dyDescent="0.25">
      <c r="B99" t="s">
        <v>1</v>
      </c>
      <c r="X99" s="41" t="s">
        <v>87</v>
      </c>
      <c r="Y99" s="1" t="s">
        <v>2</v>
      </c>
      <c r="Z99" s="3">
        <v>2.3500866666666664</v>
      </c>
      <c r="AA99" s="319">
        <v>44012</v>
      </c>
      <c r="AB99" s="320" t="str">
        <f>TEXT((WEEKDAY(AA99)),"dddd")</f>
        <v>martes</v>
      </c>
    </row>
    <row r="100" spans="1:32" ht="18.75" x14ac:dyDescent="0.3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0" t="s">
        <v>443</v>
      </c>
      <c r="P100" s="4"/>
      <c r="Q100" s="6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32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7" t="s">
        <v>78</v>
      </c>
      <c r="P101" s="4"/>
      <c r="Q101" s="4"/>
      <c r="R101" s="4"/>
      <c r="S101" s="4"/>
      <c r="T101" s="4"/>
      <c r="U101" s="4"/>
      <c r="V101" s="4"/>
      <c r="W101" s="4"/>
      <c r="X101" s="4"/>
      <c r="Y101" s="8" t="s">
        <v>4</v>
      </c>
      <c r="Z101" s="9">
        <f>2122*3</f>
        <v>6366</v>
      </c>
      <c r="AA101" s="4"/>
      <c r="AB101" s="4"/>
    </row>
    <row r="102" spans="1:32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7" t="s">
        <v>5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E102" s="31" t="s">
        <v>157</v>
      </c>
    </row>
    <row r="103" spans="1:32" x14ac:dyDescent="0.25">
      <c r="AE103" s="162">
        <v>44002</v>
      </c>
      <c r="AF103" s="163" t="s">
        <v>168</v>
      </c>
    </row>
    <row r="104" spans="1:32" ht="49.5" hidden="1" customHeight="1" outlineLevel="1" x14ac:dyDescent="0.25">
      <c r="B104" s="10" t="s">
        <v>6</v>
      </c>
      <c r="C104" s="10" t="s">
        <v>7</v>
      </c>
      <c r="D104" s="11" t="s">
        <v>8</v>
      </c>
      <c r="E104" s="10" t="s">
        <v>9</v>
      </c>
      <c r="F104" s="10" t="s">
        <v>10</v>
      </c>
      <c r="G104" s="10" t="s">
        <v>11</v>
      </c>
      <c r="H104" s="10" t="s">
        <v>12</v>
      </c>
      <c r="I104" s="10" t="s">
        <v>13</v>
      </c>
      <c r="J104" s="10" t="s">
        <v>14</v>
      </c>
      <c r="K104" s="42" t="s">
        <v>415</v>
      </c>
      <c r="L104" s="42" t="s">
        <v>415</v>
      </c>
      <c r="M104" s="47" t="s">
        <v>88</v>
      </c>
      <c r="N104" s="10" t="s">
        <v>15</v>
      </c>
      <c r="O104" s="10" t="s">
        <v>16</v>
      </c>
      <c r="P104" s="10" t="s">
        <v>17</v>
      </c>
      <c r="Q104" s="10" t="s">
        <v>18</v>
      </c>
      <c r="R104" s="10" t="s">
        <v>19</v>
      </c>
      <c r="S104" s="10" t="s">
        <v>20</v>
      </c>
      <c r="T104" s="444" t="s">
        <v>21</v>
      </c>
      <c r="U104" s="10" t="s">
        <v>22</v>
      </c>
      <c r="V104" s="10" t="s">
        <v>23</v>
      </c>
      <c r="W104" s="10" t="s">
        <v>24</v>
      </c>
      <c r="X104" s="10" t="s">
        <v>25</v>
      </c>
      <c r="Y104" s="10" t="s">
        <v>26</v>
      </c>
      <c r="Z104" s="10" t="s">
        <v>27</v>
      </c>
      <c r="AA104" s="430" t="s">
        <v>28</v>
      </c>
      <c r="AB104" s="10" t="s">
        <v>29</v>
      </c>
      <c r="AC104" s="12"/>
      <c r="AD104" s="12"/>
      <c r="AE104" s="154" t="s">
        <v>21</v>
      </c>
    </row>
    <row r="105" spans="1:32" s="13" customFormat="1" ht="37.5" hidden="1" customHeight="1" outlineLevel="1" x14ac:dyDescent="0.2">
      <c r="B105" s="14" t="s">
        <v>30</v>
      </c>
      <c r="C105" s="14" t="s">
        <v>31</v>
      </c>
      <c r="D105" s="14" t="s">
        <v>32</v>
      </c>
      <c r="E105" s="14" t="s">
        <v>33</v>
      </c>
      <c r="F105" s="14" t="s">
        <v>34</v>
      </c>
      <c r="G105" s="14" t="s">
        <v>35</v>
      </c>
      <c r="H105" s="14" t="s">
        <v>36</v>
      </c>
      <c r="I105" s="14" t="s">
        <v>37</v>
      </c>
      <c r="J105" s="14" t="s">
        <v>38</v>
      </c>
      <c r="K105" s="52"/>
      <c r="L105" s="52"/>
      <c r="M105" s="53"/>
      <c r="N105" s="14" t="s">
        <v>39</v>
      </c>
      <c r="O105" s="14" t="s">
        <v>40</v>
      </c>
      <c r="P105" s="14" t="s">
        <v>41</v>
      </c>
      <c r="Q105" s="14" t="s">
        <v>42</v>
      </c>
      <c r="R105" s="14" t="s">
        <v>43</v>
      </c>
      <c r="S105" s="14" t="s">
        <v>44</v>
      </c>
      <c r="T105" s="14" t="s">
        <v>45</v>
      </c>
      <c r="U105" s="14" t="s">
        <v>46</v>
      </c>
      <c r="V105" s="14" t="s">
        <v>47</v>
      </c>
      <c r="W105" s="14" t="s">
        <v>48</v>
      </c>
      <c r="X105" s="14" t="s">
        <v>49</v>
      </c>
      <c r="Y105" s="14" t="s">
        <v>50</v>
      </c>
      <c r="Z105" s="14" t="s">
        <v>51</v>
      </c>
      <c r="AA105" s="14" t="s">
        <v>52</v>
      </c>
      <c r="AB105" s="14" t="s">
        <v>53</v>
      </c>
      <c r="AC105" s="228" t="s">
        <v>254</v>
      </c>
    </row>
    <row r="106" spans="1:32" hidden="1" outlineLevel="1" x14ac:dyDescent="0.25">
      <c r="A106" s="5">
        <v>1</v>
      </c>
      <c r="B106" s="15">
        <v>2020</v>
      </c>
      <c r="C106" s="15">
        <v>6</v>
      </c>
      <c r="D106" s="16">
        <v>4380924010</v>
      </c>
      <c r="E106" s="17" t="s">
        <v>54</v>
      </c>
      <c r="F106" s="17" t="s">
        <v>55</v>
      </c>
      <c r="G106" s="17" t="s">
        <v>56</v>
      </c>
      <c r="H106" s="17">
        <v>4380924</v>
      </c>
      <c r="I106" s="18" t="s">
        <v>57</v>
      </c>
      <c r="J106" s="15" t="s">
        <v>58</v>
      </c>
      <c r="K106" s="43"/>
      <c r="L106" s="43"/>
      <c r="M106" s="48">
        <v>11000</v>
      </c>
      <c r="N106" s="437">
        <f>+N10+N32+N57</f>
        <v>33000</v>
      </c>
      <c r="O106" s="450">
        <f>IF(N106&gt;($Z$101*2),$Z$101*2,N106)</f>
        <v>12732</v>
      </c>
      <c r="P106" s="450">
        <f t="shared" ref="P106:P115" si="81">IF(N106&gt;O106,N106-O106,0)</f>
        <v>20268</v>
      </c>
      <c r="Q106" s="450">
        <f t="shared" ref="Q106:Q115" si="82">ROUND(P106*13%,0)</f>
        <v>2635</v>
      </c>
      <c r="R106" s="450">
        <f>IF(Q106&lt;($Z$101*2*0.13),Q106,$Z$101*2*0.13)</f>
        <v>1655.16</v>
      </c>
      <c r="S106" s="450">
        <f t="shared" ref="S106:S115" si="83">IF(Q106&gt;R106,Q106-R106,0)</f>
        <v>979.83999999999992</v>
      </c>
      <c r="T106" s="437">
        <f>+T10+T32+T57</f>
        <v>900</v>
      </c>
      <c r="U106" s="20">
        <f t="shared" ref="U106:U115" si="84">IF(S106&gt;T106,S106-T106,0)</f>
        <v>79.839999999999918</v>
      </c>
      <c r="V106" s="20">
        <f t="shared" ref="V106:V115" si="85">IF(T106&gt;S106,T106-S106,0)</f>
        <v>0</v>
      </c>
      <c r="W106" s="379">
        <f>+W10</f>
        <v>45</v>
      </c>
      <c r="X106" s="437">
        <f>+X10+X32+X57</f>
        <v>0</v>
      </c>
      <c r="Y106" s="20">
        <f t="shared" ref="Y106:Y115" si="86">W106+X106</f>
        <v>45</v>
      </c>
      <c r="Z106" s="431">
        <f t="shared" ref="Z106:Z115" si="87">IF(Y106&lt;=U106,Y106,U106)</f>
        <v>45</v>
      </c>
      <c r="AA106" s="434">
        <f>IF(U106&gt;=Z106,U106-Z106,0)</f>
        <v>34.839999999999918</v>
      </c>
      <c r="AB106" s="20">
        <f t="shared" ref="AB106:AB115" si="88">IF((V106+Y106)&gt;Z106,(V106+Y106)-Z106,0)</f>
        <v>0</v>
      </c>
      <c r="AE106" s="19">
        <v>450</v>
      </c>
    </row>
    <row r="107" spans="1:32" ht="14.25" hidden="1" customHeight="1" outlineLevel="1" x14ac:dyDescent="0.25">
      <c r="A107" s="5">
        <v>2</v>
      </c>
      <c r="B107" s="22">
        <f>+B106</f>
        <v>2020</v>
      </c>
      <c r="C107" s="22">
        <f>+C106</f>
        <v>6</v>
      </c>
      <c r="D107" s="23">
        <v>3887474011</v>
      </c>
      <c r="E107" s="24" t="s">
        <v>59</v>
      </c>
      <c r="F107" s="24" t="s">
        <v>60</v>
      </c>
      <c r="G107" s="24" t="s">
        <v>60</v>
      </c>
      <c r="H107" s="24">
        <v>3887474</v>
      </c>
      <c r="I107" s="22" t="s">
        <v>57</v>
      </c>
      <c r="J107" s="22" t="s">
        <v>58</v>
      </c>
      <c r="K107" s="44"/>
      <c r="L107" s="44"/>
      <c r="M107" s="49">
        <v>3500</v>
      </c>
      <c r="N107" s="438">
        <f t="shared" ref="N107:N115" si="89">+N11+N33+N58</f>
        <v>10500</v>
      </c>
      <c r="O107" s="451">
        <f t="shared" ref="O107:O115" si="90">IF(N107&gt;($Z$101*2),$Z$101*2,N107)</f>
        <v>10500</v>
      </c>
      <c r="P107" s="451">
        <f t="shared" si="81"/>
        <v>0</v>
      </c>
      <c r="Q107" s="451">
        <f t="shared" si="82"/>
        <v>0</v>
      </c>
      <c r="R107" s="451">
        <f t="shared" ref="R107:R115" si="91">IF(Q107&lt;($Z$101*2*0.13),Q107,$Z$101*2*0.13)</f>
        <v>0</v>
      </c>
      <c r="S107" s="451">
        <f t="shared" si="83"/>
        <v>0</v>
      </c>
      <c r="T107" s="438">
        <f t="shared" ref="T107:T115" si="92">+T11+T33+T58</f>
        <v>0</v>
      </c>
      <c r="U107" s="25">
        <f t="shared" si="84"/>
        <v>0</v>
      </c>
      <c r="V107" s="25">
        <f t="shared" si="85"/>
        <v>0</v>
      </c>
      <c r="W107" s="380">
        <f>+W11</f>
        <v>30</v>
      </c>
      <c r="X107" s="438">
        <f t="shared" ref="X107:X115" si="93">+X11+X33+X58</f>
        <v>0</v>
      </c>
      <c r="Y107" s="25">
        <f t="shared" si="86"/>
        <v>30</v>
      </c>
      <c r="Z107" s="432">
        <f t="shared" si="87"/>
        <v>0</v>
      </c>
      <c r="AA107" s="435">
        <f t="shared" ref="AA107:AA115" si="94">IF(U107&gt;=Z107,U107-Z107,0)</f>
        <v>0</v>
      </c>
      <c r="AB107" s="25">
        <f t="shared" si="88"/>
        <v>30</v>
      </c>
      <c r="AE107" s="25"/>
    </row>
    <row r="108" spans="1:32" s="38" customFormat="1" hidden="1" outlineLevel="1" x14ac:dyDescent="0.25">
      <c r="A108" s="5">
        <v>3</v>
      </c>
      <c r="B108" s="32">
        <f t="shared" ref="B108" si="95">+B107</f>
        <v>2020</v>
      </c>
      <c r="C108" s="32">
        <f>+C107</f>
        <v>6</v>
      </c>
      <c r="D108" s="33">
        <v>4570616017</v>
      </c>
      <c r="E108" s="34" t="s">
        <v>62</v>
      </c>
      <c r="F108" s="34" t="s">
        <v>63</v>
      </c>
      <c r="G108" s="34" t="s">
        <v>64</v>
      </c>
      <c r="H108" s="34">
        <v>2345678</v>
      </c>
      <c r="I108" s="35" t="s">
        <v>57</v>
      </c>
      <c r="J108" s="32" t="s">
        <v>58</v>
      </c>
      <c r="K108" s="45"/>
      <c r="L108" s="45"/>
      <c r="M108" s="50">
        <v>7000</v>
      </c>
      <c r="N108" s="438">
        <f t="shared" si="89"/>
        <v>21000</v>
      </c>
      <c r="O108" s="451">
        <f t="shared" si="90"/>
        <v>12732</v>
      </c>
      <c r="P108" s="451">
        <f t="shared" si="81"/>
        <v>8268</v>
      </c>
      <c r="Q108" s="451">
        <f t="shared" si="82"/>
        <v>1075</v>
      </c>
      <c r="R108" s="451">
        <f t="shared" si="91"/>
        <v>1075</v>
      </c>
      <c r="S108" s="451">
        <f t="shared" si="83"/>
        <v>0</v>
      </c>
      <c r="T108" s="438">
        <f t="shared" si="92"/>
        <v>0</v>
      </c>
      <c r="U108" s="36">
        <f t="shared" si="84"/>
        <v>0</v>
      </c>
      <c r="V108" s="36">
        <f t="shared" si="85"/>
        <v>0</v>
      </c>
      <c r="W108" s="380">
        <f t="shared" ref="W108:W115" si="96">+W12</f>
        <v>800</v>
      </c>
      <c r="X108" s="438">
        <f t="shared" si="93"/>
        <v>2</v>
      </c>
      <c r="Y108" s="36">
        <f t="shared" si="86"/>
        <v>802</v>
      </c>
      <c r="Z108" s="432">
        <f t="shared" si="87"/>
        <v>0</v>
      </c>
      <c r="AA108" s="435">
        <f t="shared" si="94"/>
        <v>0</v>
      </c>
      <c r="AB108" s="36">
        <f t="shared" si="88"/>
        <v>802</v>
      </c>
      <c r="AC108" s="425" t="s">
        <v>439</v>
      </c>
      <c r="AD108" s="440" t="s">
        <v>440</v>
      </c>
      <c r="AE108" s="36"/>
    </row>
    <row r="109" spans="1:32" hidden="1" outlineLevel="1" x14ac:dyDescent="0.25">
      <c r="A109" s="5">
        <v>4</v>
      </c>
      <c r="B109" s="22">
        <f t="shared" ref="B109" si="97">+B108</f>
        <v>2020</v>
      </c>
      <c r="C109" s="22">
        <f>+C108</f>
        <v>6</v>
      </c>
      <c r="D109" s="23">
        <v>4466790012</v>
      </c>
      <c r="E109" s="24" t="s">
        <v>65</v>
      </c>
      <c r="F109" s="24" t="s">
        <v>66</v>
      </c>
      <c r="G109" s="24" t="s">
        <v>67</v>
      </c>
      <c r="H109" s="24">
        <v>4466790</v>
      </c>
      <c r="I109" s="22" t="s">
        <v>57</v>
      </c>
      <c r="J109" s="22" t="s">
        <v>58</v>
      </c>
      <c r="K109" s="46"/>
      <c r="L109" s="46"/>
      <c r="M109" s="51">
        <v>12000</v>
      </c>
      <c r="N109" s="438">
        <f t="shared" si="89"/>
        <v>36000</v>
      </c>
      <c r="O109" s="451">
        <f t="shared" si="90"/>
        <v>12732</v>
      </c>
      <c r="P109" s="451">
        <f t="shared" si="81"/>
        <v>23268</v>
      </c>
      <c r="Q109" s="451">
        <f t="shared" si="82"/>
        <v>3025</v>
      </c>
      <c r="R109" s="451">
        <f t="shared" si="91"/>
        <v>1655.16</v>
      </c>
      <c r="S109" s="451">
        <f t="shared" si="83"/>
        <v>1369.84</v>
      </c>
      <c r="T109" s="438">
        <f t="shared" si="92"/>
        <v>750</v>
      </c>
      <c r="U109" s="25">
        <f t="shared" si="84"/>
        <v>619.83999999999992</v>
      </c>
      <c r="V109" s="25">
        <f t="shared" si="85"/>
        <v>0</v>
      </c>
      <c r="W109" s="380">
        <f t="shared" si="96"/>
        <v>100</v>
      </c>
      <c r="X109" s="438">
        <f t="shared" si="93"/>
        <v>0</v>
      </c>
      <c r="Y109" s="25">
        <f t="shared" si="86"/>
        <v>100</v>
      </c>
      <c r="Z109" s="432">
        <f t="shared" si="87"/>
        <v>100</v>
      </c>
      <c r="AA109" s="435">
        <f t="shared" si="94"/>
        <v>519.83999999999992</v>
      </c>
      <c r="AB109" s="25">
        <f t="shared" si="88"/>
        <v>0</v>
      </c>
      <c r="AC109" s="426" t="s">
        <v>439</v>
      </c>
      <c r="AD109" s="441" t="s">
        <v>441</v>
      </c>
      <c r="AE109" s="25">
        <v>450</v>
      </c>
    </row>
    <row r="110" spans="1:32" hidden="1" outlineLevel="1" x14ac:dyDescent="0.25">
      <c r="A110" s="5">
        <v>5</v>
      </c>
      <c r="B110" s="22">
        <f t="shared" ref="B110:C110" si="98">+B109</f>
        <v>2020</v>
      </c>
      <c r="C110" s="22">
        <f t="shared" si="98"/>
        <v>6</v>
      </c>
      <c r="D110" s="23">
        <v>4466791013</v>
      </c>
      <c r="E110" s="24" t="s">
        <v>68</v>
      </c>
      <c r="F110" s="24" t="s">
        <v>60</v>
      </c>
      <c r="G110" s="24" t="s">
        <v>69</v>
      </c>
      <c r="H110" s="24">
        <v>4466791</v>
      </c>
      <c r="I110" s="22" t="s">
        <v>57</v>
      </c>
      <c r="J110" s="22" t="s">
        <v>58</v>
      </c>
      <c r="K110" s="46"/>
      <c r="L110" s="46"/>
      <c r="M110" s="51">
        <v>15000</v>
      </c>
      <c r="N110" s="438">
        <f t="shared" si="89"/>
        <v>45000</v>
      </c>
      <c r="O110" s="451">
        <f t="shared" si="90"/>
        <v>12732</v>
      </c>
      <c r="P110" s="451">
        <f t="shared" si="81"/>
        <v>32268</v>
      </c>
      <c r="Q110" s="451">
        <f t="shared" si="82"/>
        <v>4195</v>
      </c>
      <c r="R110" s="451">
        <f t="shared" si="91"/>
        <v>1655.16</v>
      </c>
      <c r="S110" s="451">
        <f t="shared" si="83"/>
        <v>2539.84</v>
      </c>
      <c r="T110" s="438">
        <f t="shared" si="92"/>
        <v>800</v>
      </c>
      <c r="U110" s="25">
        <f t="shared" si="84"/>
        <v>1739.8400000000001</v>
      </c>
      <c r="V110" s="25">
        <f t="shared" si="85"/>
        <v>0</v>
      </c>
      <c r="W110" s="380">
        <f t="shared" si="96"/>
        <v>60</v>
      </c>
      <c r="X110" s="438">
        <f t="shared" si="93"/>
        <v>0</v>
      </c>
      <c r="Y110" s="25">
        <f t="shared" si="86"/>
        <v>60</v>
      </c>
      <c r="Z110" s="432">
        <f t="shared" si="87"/>
        <v>60</v>
      </c>
      <c r="AA110" s="435">
        <f t="shared" si="94"/>
        <v>1679.8400000000001</v>
      </c>
      <c r="AB110" s="25">
        <f t="shared" si="88"/>
        <v>0</v>
      </c>
      <c r="AC110" s="428" t="s">
        <v>439</v>
      </c>
      <c r="AD110" s="427" t="s">
        <v>442</v>
      </c>
      <c r="AE110" s="25">
        <v>500</v>
      </c>
    </row>
    <row r="111" spans="1:32" hidden="1" outlineLevel="1" x14ac:dyDescent="0.25">
      <c r="A111" s="5">
        <v>6</v>
      </c>
      <c r="B111" s="22">
        <f t="shared" ref="B111:C111" si="99">+B110</f>
        <v>2020</v>
      </c>
      <c r="C111" s="22">
        <f t="shared" si="99"/>
        <v>6</v>
      </c>
      <c r="D111" s="23">
        <v>4466792010</v>
      </c>
      <c r="E111" s="24" t="s">
        <v>70</v>
      </c>
      <c r="F111" s="24" t="s">
        <v>71</v>
      </c>
      <c r="G111" s="24" t="s">
        <v>72</v>
      </c>
      <c r="H111" s="24">
        <v>4466792</v>
      </c>
      <c r="I111" s="22" t="s">
        <v>57</v>
      </c>
      <c r="J111" s="22" t="s">
        <v>58</v>
      </c>
      <c r="K111" s="46"/>
      <c r="L111" s="46"/>
      <c r="M111" s="51">
        <v>22000</v>
      </c>
      <c r="N111" s="438">
        <f t="shared" si="89"/>
        <v>66000</v>
      </c>
      <c r="O111" s="451">
        <f t="shared" si="90"/>
        <v>12732</v>
      </c>
      <c r="P111" s="451">
        <f t="shared" si="81"/>
        <v>53268</v>
      </c>
      <c r="Q111" s="451">
        <f t="shared" si="82"/>
        <v>6925</v>
      </c>
      <c r="R111" s="451">
        <f t="shared" si="91"/>
        <v>1655.16</v>
      </c>
      <c r="S111" s="451">
        <f t="shared" si="83"/>
        <v>5269.84</v>
      </c>
      <c r="T111" s="438">
        <f t="shared" si="92"/>
        <v>1600</v>
      </c>
      <c r="U111" s="25">
        <f t="shared" si="84"/>
        <v>3669.84</v>
      </c>
      <c r="V111" s="25">
        <f t="shared" si="85"/>
        <v>0</v>
      </c>
      <c r="W111" s="380">
        <f t="shared" si="96"/>
        <v>2000</v>
      </c>
      <c r="X111" s="438">
        <f t="shared" si="93"/>
        <v>2</v>
      </c>
      <c r="Y111" s="25">
        <f t="shared" si="86"/>
        <v>2002</v>
      </c>
      <c r="Z111" s="432">
        <f t="shared" si="87"/>
        <v>2002</v>
      </c>
      <c r="AA111" s="435">
        <f t="shared" si="94"/>
        <v>1667.8400000000001</v>
      </c>
      <c r="AB111" s="25">
        <f t="shared" si="88"/>
        <v>0</v>
      </c>
      <c r="AE111" s="25"/>
    </row>
    <row r="112" spans="1:32" hidden="1" outlineLevel="1" x14ac:dyDescent="0.25">
      <c r="A112" s="5">
        <v>7</v>
      </c>
      <c r="B112" s="22">
        <f t="shared" ref="B112:C112" si="100">+B111</f>
        <v>2020</v>
      </c>
      <c r="C112" s="22">
        <f t="shared" si="100"/>
        <v>6</v>
      </c>
      <c r="D112" s="23">
        <v>4466793017</v>
      </c>
      <c r="E112" s="24" t="s">
        <v>73</v>
      </c>
      <c r="F112" s="24" t="s">
        <v>72</v>
      </c>
      <c r="G112" s="24" t="s">
        <v>72</v>
      </c>
      <c r="H112" s="24">
        <v>4466793</v>
      </c>
      <c r="I112" s="22" t="s">
        <v>57</v>
      </c>
      <c r="J112" s="22" t="s">
        <v>58</v>
      </c>
      <c r="K112" s="46"/>
      <c r="L112" s="46"/>
      <c r="M112" s="51">
        <v>18000</v>
      </c>
      <c r="N112" s="438">
        <f t="shared" si="89"/>
        <v>54000</v>
      </c>
      <c r="O112" s="451">
        <f t="shared" si="90"/>
        <v>12732</v>
      </c>
      <c r="P112" s="451">
        <f t="shared" si="81"/>
        <v>41268</v>
      </c>
      <c r="Q112" s="451">
        <f t="shared" si="82"/>
        <v>5365</v>
      </c>
      <c r="R112" s="451">
        <f t="shared" si="91"/>
        <v>1655.16</v>
      </c>
      <c r="S112" s="451">
        <f t="shared" si="83"/>
        <v>3709.84</v>
      </c>
      <c r="T112" s="438">
        <f t="shared" si="92"/>
        <v>1100</v>
      </c>
      <c r="U112" s="25">
        <f t="shared" si="84"/>
        <v>2609.84</v>
      </c>
      <c r="V112" s="25">
        <f t="shared" si="85"/>
        <v>0</v>
      </c>
      <c r="W112" s="380">
        <f t="shared" si="96"/>
        <v>0</v>
      </c>
      <c r="X112" s="438">
        <f t="shared" si="93"/>
        <v>0</v>
      </c>
      <c r="Y112" s="25">
        <f t="shared" si="86"/>
        <v>0</v>
      </c>
      <c r="Z112" s="432">
        <f t="shared" si="87"/>
        <v>0</v>
      </c>
      <c r="AA112" s="435">
        <f t="shared" si="94"/>
        <v>2609.84</v>
      </c>
      <c r="AB112" s="25">
        <f t="shared" si="88"/>
        <v>0</v>
      </c>
      <c r="AE112" s="25">
        <v>300</v>
      </c>
    </row>
    <row r="113" spans="1:32" hidden="1" outlineLevel="1" x14ac:dyDescent="0.25">
      <c r="A113" s="5">
        <v>8</v>
      </c>
      <c r="B113" s="22">
        <f t="shared" ref="B113:C113" si="101">+B112</f>
        <v>2020</v>
      </c>
      <c r="C113" s="22">
        <f t="shared" si="101"/>
        <v>6</v>
      </c>
      <c r="D113" s="23">
        <v>4466795019</v>
      </c>
      <c r="E113" s="24" t="s">
        <v>74</v>
      </c>
      <c r="F113" s="24" t="s">
        <v>75</v>
      </c>
      <c r="G113" s="24" t="s">
        <v>76</v>
      </c>
      <c r="H113" s="24">
        <v>4466795</v>
      </c>
      <c r="I113" s="22" t="s">
        <v>57</v>
      </c>
      <c r="J113" s="22" t="s">
        <v>58</v>
      </c>
      <c r="K113" s="46"/>
      <c r="L113" s="46"/>
      <c r="M113" s="51">
        <v>8000</v>
      </c>
      <c r="N113" s="438">
        <f t="shared" si="89"/>
        <v>24000</v>
      </c>
      <c r="O113" s="451">
        <f t="shared" si="90"/>
        <v>12732</v>
      </c>
      <c r="P113" s="451">
        <f t="shared" si="81"/>
        <v>11268</v>
      </c>
      <c r="Q113" s="451">
        <f t="shared" si="82"/>
        <v>1465</v>
      </c>
      <c r="R113" s="451">
        <f t="shared" si="91"/>
        <v>1465</v>
      </c>
      <c r="S113" s="451">
        <f t="shared" si="83"/>
        <v>0</v>
      </c>
      <c r="T113" s="438">
        <f t="shared" si="92"/>
        <v>0</v>
      </c>
      <c r="U113" s="25">
        <f t="shared" si="84"/>
        <v>0</v>
      </c>
      <c r="V113" s="25">
        <f t="shared" si="85"/>
        <v>0</v>
      </c>
      <c r="W113" s="380">
        <f t="shared" si="96"/>
        <v>0</v>
      </c>
      <c r="X113" s="438">
        <f t="shared" si="93"/>
        <v>0</v>
      </c>
      <c r="Y113" s="25">
        <f t="shared" si="86"/>
        <v>0</v>
      </c>
      <c r="Z113" s="432">
        <f t="shared" si="87"/>
        <v>0</v>
      </c>
      <c r="AA113" s="435">
        <f t="shared" si="94"/>
        <v>0</v>
      </c>
      <c r="AB113" s="25">
        <f t="shared" si="88"/>
        <v>0</v>
      </c>
      <c r="AE113" s="25"/>
    </row>
    <row r="114" spans="1:32" hidden="1" outlineLevel="1" x14ac:dyDescent="0.25">
      <c r="B114" s="22"/>
      <c r="C114" s="22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438">
        <f t="shared" si="89"/>
        <v>0</v>
      </c>
      <c r="O114" s="451">
        <f t="shared" si="90"/>
        <v>0</v>
      </c>
      <c r="P114" s="451">
        <f t="shared" si="81"/>
        <v>0</v>
      </c>
      <c r="Q114" s="451">
        <f t="shared" si="82"/>
        <v>0</v>
      </c>
      <c r="R114" s="451">
        <f t="shared" si="91"/>
        <v>0</v>
      </c>
      <c r="S114" s="451">
        <f t="shared" si="83"/>
        <v>0</v>
      </c>
      <c r="T114" s="438">
        <f t="shared" si="92"/>
        <v>0</v>
      </c>
      <c r="U114" s="25">
        <f t="shared" si="84"/>
        <v>0</v>
      </c>
      <c r="V114" s="25">
        <f t="shared" si="85"/>
        <v>0</v>
      </c>
      <c r="W114" s="380">
        <f t="shared" si="96"/>
        <v>0</v>
      </c>
      <c r="X114" s="438">
        <f t="shared" si="93"/>
        <v>0</v>
      </c>
      <c r="Y114" s="25">
        <f t="shared" si="86"/>
        <v>0</v>
      </c>
      <c r="Z114" s="432">
        <f t="shared" si="87"/>
        <v>0</v>
      </c>
      <c r="AA114" s="435">
        <f t="shared" si="94"/>
        <v>0</v>
      </c>
      <c r="AB114" s="25">
        <f t="shared" si="88"/>
        <v>0</v>
      </c>
      <c r="AE114" s="25"/>
    </row>
    <row r="115" spans="1:32" hidden="1" outlineLevel="1" x14ac:dyDescent="0.25">
      <c r="B115" s="26"/>
      <c r="C115" s="26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439">
        <f t="shared" si="89"/>
        <v>0</v>
      </c>
      <c r="O115" s="452">
        <f t="shared" si="90"/>
        <v>0</v>
      </c>
      <c r="P115" s="452">
        <f t="shared" si="81"/>
        <v>0</v>
      </c>
      <c r="Q115" s="452">
        <f t="shared" si="82"/>
        <v>0</v>
      </c>
      <c r="R115" s="452">
        <f t="shared" si="91"/>
        <v>0</v>
      </c>
      <c r="S115" s="452">
        <f t="shared" si="83"/>
        <v>0</v>
      </c>
      <c r="T115" s="439">
        <f t="shared" si="92"/>
        <v>0</v>
      </c>
      <c r="U115" s="21">
        <f t="shared" si="84"/>
        <v>0</v>
      </c>
      <c r="V115" s="21">
        <f t="shared" si="85"/>
        <v>0</v>
      </c>
      <c r="W115" s="380">
        <f t="shared" si="96"/>
        <v>0</v>
      </c>
      <c r="X115" s="439">
        <f t="shared" si="93"/>
        <v>0</v>
      </c>
      <c r="Y115" s="20">
        <f t="shared" si="86"/>
        <v>0</v>
      </c>
      <c r="Z115" s="433">
        <f t="shared" si="87"/>
        <v>0</v>
      </c>
      <c r="AA115" s="436">
        <f t="shared" si="94"/>
        <v>0</v>
      </c>
      <c r="AB115" s="21">
        <f t="shared" si="88"/>
        <v>0</v>
      </c>
      <c r="AE115" s="21"/>
    </row>
    <row r="116" spans="1:32" s="1" customFormat="1" hidden="1" outlineLevel="1" x14ac:dyDescent="0.25">
      <c r="I116" s="1" t="s">
        <v>77</v>
      </c>
      <c r="N116" s="29">
        <f t="shared" ref="N116:V116" si="102">SUM(N106:N115)</f>
        <v>289500</v>
      </c>
      <c r="O116" s="29">
        <f t="shared" si="102"/>
        <v>99624</v>
      </c>
      <c r="P116" s="29">
        <f t="shared" si="102"/>
        <v>189876</v>
      </c>
      <c r="Q116" s="29">
        <f t="shared" si="102"/>
        <v>24685</v>
      </c>
      <c r="R116" s="29">
        <f t="shared" si="102"/>
        <v>10815.8</v>
      </c>
      <c r="S116" s="29">
        <f t="shared" si="102"/>
        <v>13869.2</v>
      </c>
      <c r="T116" s="30">
        <f t="shared" si="102"/>
        <v>5150</v>
      </c>
      <c r="U116" s="30">
        <f t="shared" si="102"/>
        <v>8719.2000000000007</v>
      </c>
      <c r="V116" s="30">
        <f t="shared" si="102"/>
        <v>0</v>
      </c>
      <c r="W116" s="30">
        <f>SUM(W106:W115)</f>
        <v>3035</v>
      </c>
      <c r="X116" s="30">
        <f t="shared" ref="X116:Z116" si="103">SUM(X106:X115)</f>
        <v>4</v>
      </c>
      <c r="Y116" s="30">
        <f t="shared" si="103"/>
        <v>3039</v>
      </c>
      <c r="Z116" s="30">
        <f t="shared" si="103"/>
        <v>2207</v>
      </c>
      <c r="AA116" s="429">
        <f>SUM(AA106:AA115)</f>
        <v>6512.2000000000007</v>
      </c>
      <c r="AB116" s="30">
        <f>SUM(AB106:AB115)</f>
        <v>832</v>
      </c>
      <c r="AE116" s="30">
        <f t="shared" ref="AE116" si="104">SUM(AE106:AE115)</f>
        <v>1700</v>
      </c>
      <c r="AF116" s="1">
        <f>COUNT(AE106:AE115)</f>
        <v>4</v>
      </c>
    </row>
    <row r="117" spans="1:32" ht="15.75" hidden="1" customHeight="1" outlineLevel="1" x14ac:dyDescent="0.25">
      <c r="N117" s="442">
        <f t="shared" ref="N117:X117" si="105">+N92+N67+N45</f>
        <v>482500</v>
      </c>
      <c r="O117" s="442">
        <f t="shared" si="105"/>
        <v>153308</v>
      </c>
      <c r="P117" s="442">
        <f t="shared" si="105"/>
        <v>329192</v>
      </c>
      <c r="Q117" s="442">
        <f t="shared" si="105"/>
        <v>42786</v>
      </c>
      <c r="R117" s="442">
        <f t="shared" si="105"/>
        <v>18604.160000000003</v>
      </c>
      <c r="S117" s="442">
        <f t="shared" si="105"/>
        <v>24181.839999999997</v>
      </c>
      <c r="T117" s="442">
        <f t="shared" si="105"/>
        <v>10300</v>
      </c>
      <c r="U117" s="442">
        <f t="shared" si="105"/>
        <v>14376.72</v>
      </c>
      <c r="V117" s="442">
        <f t="shared" si="105"/>
        <v>494.88000000000011</v>
      </c>
      <c r="W117" s="443">
        <f t="shared" si="105"/>
        <v>5129.08</v>
      </c>
      <c r="X117" s="442">
        <f t="shared" si="105"/>
        <v>5</v>
      </c>
      <c r="Y117" s="443">
        <f>+Y92+Y67+Y45</f>
        <v>5134.08</v>
      </c>
      <c r="Z117" s="442">
        <f t="shared" ref="Z117:AB117" si="106">+Z92+Z67+Z45</f>
        <v>3527.56</v>
      </c>
      <c r="AA117" s="442">
        <f t="shared" si="106"/>
        <v>10849.16</v>
      </c>
      <c r="AB117" s="443">
        <f t="shared" si="106"/>
        <v>2101.4000000000005</v>
      </c>
    </row>
    <row r="118" spans="1:32" ht="15.75" hidden="1" customHeight="1" outlineLevel="1" x14ac:dyDescent="0.25">
      <c r="I118" s="374"/>
      <c r="J118" s="375"/>
      <c r="K118" s="376"/>
      <c r="L118" s="376"/>
      <c r="M118" s="377" t="s">
        <v>224</v>
      </c>
      <c r="N118" s="378">
        <v>13</v>
      </c>
      <c r="O118" s="377">
        <v>26</v>
      </c>
      <c r="P118" s="377">
        <v>27</v>
      </c>
      <c r="Q118" s="377">
        <v>2000</v>
      </c>
      <c r="R118" s="377">
        <v>215</v>
      </c>
      <c r="S118" s="377">
        <v>1215</v>
      </c>
      <c r="T118" s="377">
        <v>202</v>
      </c>
      <c r="U118" s="377">
        <v>2001</v>
      </c>
      <c r="V118" s="377">
        <v>634</v>
      </c>
      <c r="W118" s="378">
        <v>635</v>
      </c>
      <c r="X118" s="377">
        <v>648</v>
      </c>
      <c r="Y118" s="377">
        <v>649</v>
      </c>
      <c r="Z118" s="377">
        <v>650</v>
      </c>
      <c r="AA118" s="377">
        <v>909</v>
      </c>
      <c r="AB118" s="377">
        <v>592</v>
      </c>
    </row>
    <row r="119" spans="1:32" ht="15.75" customHeight="1" collapsed="1" x14ac:dyDescent="0.25">
      <c r="N119" s="217">
        <f>+N116</f>
        <v>289500</v>
      </c>
      <c r="O119" s="217">
        <f t="shared" ref="O119:AB119" si="107">+O116</f>
        <v>99624</v>
      </c>
      <c r="P119" s="217">
        <f t="shared" si="107"/>
        <v>189876</v>
      </c>
      <c r="Q119" s="217">
        <f t="shared" si="107"/>
        <v>24685</v>
      </c>
      <c r="R119" s="217">
        <f t="shared" si="107"/>
        <v>10815.8</v>
      </c>
      <c r="S119" s="217">
        <f t="shared" si="107"/>
        <v>13869.2</v>
      </c>
      <c r="T119" s="217">
        <f t="shared" si="107"/>
        <v>5150</v>
      </c>
      <c r="U119" s="217">
        <f t="shared" si="107"/>
        <v>8719.2000000000007</v>
      </c>
      <c r="V119" s="217">
        <f t="shared" si="107"/>
        <v>0</v>
      </c>
      <c r="W119" s="217">
        <f t="shared" si="107"/>
        <v>3035</v>
      </c>
      <c r="X119" s="217">
        <f t="shared" si="107"/>
        <v>4</v>
      </c>
      <c r="Y119" s="217">
        <f t="shared" si="107"/>
        <v>3039</v>
      </c>
      <c r="Z119" s="217">
        <f t="shared" si="107"/>
        <v>2207</v>
      </c>
      <c r="AA119" s="217">
        <f t="shared" si="107"/>
        <v>6512.2000000000007</v>
      </c>
      <c r="AB119" s="217">
        <f t="shared" si="107"/>
        <v>832</v>
      </c>
    </row>
    <row r="120" spans="1:32" ht="15.75" customHeight="1" x14ac:dyDescent="0.25"/>
    <row r="121" spans="1:32" ht="15.75" customHeight="1" x14ac:dyDescent="0.25"/>
    <row r="122" spans="1:32" ht="15.75" customHeight="1" x14ac:dyDescent="0.25"/>
    <row r="123" spans="1:32" ht="15.75" customHeight="1" x14ac:dyDescent="0.25"/>
    <row r="124" spans="1:32" ht="15.75" customHeight="1" x14ac:dyDescent="0.25"/>
    <row r="125" spans="1:32" ht="15.75" customHeight="1" x14ac:dyDescent="0.25"/>
    <row r="126" spans="1:32" ht="15.75" customHeight="1" x14ac:dyDescent="0.25"/>
    <row r="127" spans="1:32" ht="15.75" customHeight="1" x14ac:dyDescent="0.25"/>
    <row r="128" spans="1:32" ht="15.75" customHeight="1" x14ac:dyDescent="0.25"/>
    <row r="129" spans="27:27" ht="15.75" customHeight="1" x14ac:dyDescent="0.25"/>
    <row r="130" spans="27:27" ht="15.75" customHeight="1" x14ac:dyDescent="0.25"/>
    <row r="131" spans="27:27" ht="15.75" customHeight="1" x14ac:dyDescent="0.25"/>
    <row r="132" spans="27:27" ht="15.75" customHeight="1" x14ac:dyDescent="0.25"/>
    <row r="133" spans="27:27" ht="15.75" customHeight="1" x14ac:dyDescent="0.25">
      <c r="AA133" s="248">
        <f>+AA14+AA36+AA61</f>
        <v>1678.84</v>
      </c>
    </row>
    <row r="134" spans="27:27" ht="15.75" customHeight="1" x14ac:dyDescent="0.25"/>
    <row r="135" spans="27:27" ht="15.75" customHeight="1" x14ac:dyDescent="0.25"/>
    <row r="136" spans="27:27" ht="15.75" customHeight="1" x14ac:dyDescent="0.25"/>
    <row r="137" spans="27:27" ht="15.75" customHeight="1" x14ac:dyDescent="0.25"/>
    <row r="138" spans="27:27" ht="15.75" customHeight="1" x14ac:dyDescent="0.25"/>
    <row r="139" spans="27:27" ht="15.75" customHeight="1" x14ac:dyDescent="0.25"/>
    <row r="140" spans="27:27" ht="15.75" customHeight="1" x14ac:dyDescent="0.25"/>
    <row r="141" spans="27:27" ht="15.75" customHeight="1" x14ac:dyDescent="0.25"/>
    <row r="142" spans="27:27" ht="15.75" customHeight="1" x14ac:dyDescent="0.25"/>
    <row r="143" spans="27:27" ht="15.75" customHeight="1" x14ac:dyDescent="0.25"/>
    <row r="144" spans="27:27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sheetProtection algorithmName="SHA-512" hashValue="A5c5ZmFA+GGt1MnkjCvdSGw+PbmleGK7FotMjGdos/+4QmNzecw6yeeVIS/BXLzZUqkN7w2dki0oHPUSfWk9sw==" saltValue="uLsIuY4kVP0Y/BGaF3/Bag==" spinCount="100000" sheet="1" objects="1" scenarios="1" selectLockedCells="1"/>
  <autoFilter ref="B8:AB131" xr:uid="{A9DD29C4-3BB0-4AB9-9951-6576DC8CBA83}"/>
  <dataValidations count="2">
    <dataValidation type="list" allowBlank="1" showInputMessage="1" showErrorMessage="1" sqref="AC9 AC31" xr:uid="{6B514C35-7DDF-481B-ABA1-B9ED21DD4267}">
      <formula1>$AE$1:$AE$3</formula1>
    </dataValidation>
    <dataValidation type="list" allowBlank="1" showInputMessage="1" showErrorMessage="1" sqref="AC80 AC105" xr:uid="{1272D282-2F9D-4D2E-90AE-BB59F970ECB0}">
      <formula1>$AC$52:$AC$53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CA67-5E37-4367-BC19-786E645080CC}">
  <dimension ref="A1:AN65"/>
  <sheetViews>
    <sheetView showGridLines="0" showRowColHeaders="0" topLeftCell="M40" zoomScale="115" zoomScaleNormal="115" workbookViewId="0">
      <selection activeCell="T49" sqref="T49"/>
    </sheetView>
  </sheetViews>
  <sheetFormatPr baseColWidth="10" defaultColWidth="9.140625" defaultRowHeight="12.75" x14ac:dyDescent="0.25"/>
  <cols>
    <col min="1" max="1" width="5.28515625" style="59" customWidth="1"/>
    <col min="2" max="2" width="11.140625" style="60" bestFit="1" customWidth="1"/>
    <col min="3" max="3" width="8" style="60" bestFit="1" customWidth="1"/>
    <col min="4" max="4" width="23.7109375" style="59" customWidth="1"/>
    <col min="5" max="5" width="13.140625" style="59" bestFit="1" customWidth="1"/>
    <col min="6" max="6" width="12.5703125" style="59" bestFit="1" customWidth="1"/>
    <col min="7" max="7" width="6.28515625" style="59" customWidth="1"/>
    <col min="8" max="8" width="26.7109375" style="59" bestFit="1" customWidth="1"/>
    <col min="9" max="9" width="12.140625" style="59" customWidth="1"/>
    <col min="10" max="10" width="15.140625" style="59" customWidth="1"/>
    <col min="11" max="11" width="12.28515625" style="59" customWidth="1"/>
    <col min="12" max="12" width="14.140625" style="59" customWidth="1"/>
    <col min="13" max="13" width="12.7109375" style="59" customWidth="1"/>
    <col min="14" max="14" width="12" style="59" bestFit="1" customWidth="1"/>
    <col min="15" max="15" width="15.5703125" style="59" customWidth="1"/>
    <col min="16" max="16" width="14.7109375" style="59" customWidth="1"/>
    <col min="17" max="17" width="13.5703125" style="59" customWidth="1"/>
    <col min="18" max="18" width="12.85546875" style="59" customWidth="1"/>
    <col min="19" max="19" width="13.7109375" style="59" bestFit="1" customWidth="1"/>
    <col min="20" max="20" width="12.28515625" style="59" customWidth="1"/>
    <col min="21" max="21" width="12.140625" style="59" customWidth="1"/>
    <col min="22" max="22" width="13.85546875" style="59" bestFit="1" customWidth="1"/>
    <col min="23" max="23" width="14.5703125" style="59" customWidth="1"/>
    <col min="24" max="24" width="18" style="59" customWidth="1"/>
    <col min="25" max="25" width="13.28515625" style="64" customWidth="1"/>
    <col min="26" max="26" width="6.85546875" style="127" customWidth="1"/>
    <col min="27" max="27" width="9.140625" style="126"/>
    <col min="28" max="29" width="9.140625" style="127"/>
    <col min="30" max="30" width="11.5703125" style="127" customWidth="1"/>
    <col min="31" max="31" width="11.7109375" style="127" customWidth="1"/>
    <col min="32" max="32" width="9.140625" style="127"/>
    <col min="33" max="33" width="10.85546875" style="127" customWidth="1"/>
    <col min="34" max="34" width="9.140625" style="127"/>
    <col min="35" max="35" width="11.42578125" style="127" customWidth="1"/>
    <col min="36" max="37" width="9.140625" style="127"/>
    <col min="38" max="233" width="9.140625" style="59"/>
    <col min="234" max="234" width="5.28515625" style="59" customWidth="1"/>
    <col min="235" max="235" width="11.140625" style="59" bestFit="1" customWidth="1"/>
    <col min="236" max="236" width="8" style="59" bestFit="1" customWidth="1"/>
    <col min="237" max="237" width="32.7109375" style="59" customWidth="1"/>
    <col min="238" max="238" width="13.140625" style="59" bestFit="1" customWidth="1"/>
    <col min="239" max="239" width="12.5703125" style="59" bestFit="1" customWidth="1"/>
    <col min="240" max="240" width="6.28515625" style="59" customWidth="1"/>
    <col min="241" max="241" width="26.7109375" style="59" bestFit="1" customWidth="1"/>
    <col min="242" max="242" width="12.140625" style="59" customWidth="1"/>
    <col min="243" max="245" width="0" style="59" hidden="1" customWidth="1"/>
    <col min="246" max="246" width="15.140625" style="59" customWidth="1"/>
    <col min="247" max="247" width="12.28515625" style="59" customWidth="1"/>
    <col min="248" max="248" width="14.140625" style="59" customWidth="1"/>
    <col min="249" max="249" width="12.7109375" style="59" customWidth="1"/>
    <col min="250" max="250" width="12" style="59" bestFit="1" customWidth="1"/>
    <col min="251" max="251" width="15.5703125" style="59" customWidth="1"/>
    <col min="252" max="252" width="14.7109375" style="59" customWidth="1"/>
    <col min="253" max="253" width="13.5703125" style="59" customWidth="1"/>
    <col min="254" max="254" width="12.85546875" style="59" customWidth="1"/>
    <col min="255" max="255" width="13.7109375" style="59" bestFit="1" customWidth="1"/>
    <col min="256" max="256" width="12.28515625" style="59" customWidth="1"/>
    <col min="257" max="257" width="12.140625" style="59" customWidth="1"/>
    <col min="258" max="258" width="13.85546875" style="59" bestFit="1" customWidth="1"/>
    <col min="259" max="259" width="14.5703125" style="59" customWidth="1"/>
    <col min="260" max="260" width="18" style="59" customWidth="1"/>
    <col min="261" max="261" width="13.28515625" style="59" customWidth="1"/>
    <col min="262" max="262" width="6.85546875" style="59" customWidth="1"/>
    <col min="263" max="263" width="10.5703125" style="59" customWidth="1"/>
    <col min="264" max="264" width="17.140625" style="59" customWidth="1"/>
    <col min="265" max="268" width="9.140625" style="59"/>
    <col min="269" max="269" width="11.5703125" style="59" customWidth="1"/>
    <col min="270" max="270" width="11.7109375" style="59" customWidth="1"/>
    <col min="271" max="271" width="9.140625" style="59"/>
    <col min="272" max="272" width="10.85546875" style="59" customWidth="1"/>
    <col min="273" max="273" width="9.140625" style="59"/>
    <col min="274" max="275" width="11.42578125" style="59" customWidth="1"/>
    <col min="276" max="281" width="9.140625" style="59"/>
    <col min="282" max="282" width="13.42578125" style="59" bestFit="1" customWidth="1"/>
    <col min="283" max="283" width="21" style="59" bestFit="1" customWidth="1"/>
    <col min="284" max="284" width="14.5703125" style="59" customWidth="1"/>
    <col min="285" max="285" width="15" style="59" bestFit="1" customWidth="1"/>
    <col min="286" max="286" width="9.140625" style="59"/>
    <col min="287" max="287" width="16" style="59" customWidth="1"/>
    <col min="288" max="289" width="11.42578125" style="59" customWidth="1"/>
    <col min="290" max="292" width="9.28515625" style="59" bestFit="1" customWidth="1"/>
    <col min="293" max="293" width="11.140625" style="59" bestFit="1" customWidth="1"/>
    <col min="294" max="489" width="9.140625" style="59"/>
    <col min="490" max="490" width="5.28515625" style="59" customWidth="1"/>
    <col min="491" max="491" width="11.140625" style="59" bestFit="1" customWidth="1"/>
    <col min="492" max="492" width="8" style="59" bestFit="1" customWidth="1"/>
    <col min="493" max="493" width="32.7109375" style="59" customWidth="1"/>
    <col min="494" max="494" width="13.140625" style="59" bestFit="1" customWidth="1"/>
    <col min="495" max="495" width="12.5703125" style="59" bestFit="1" customWidth="1"/>
    <col min="496" max="496" width="6.28515625" style="59" customWidth="1"/>
    <col min="497" max="497" width="26.7109375" style="59" bestFit="1" customWidth="1"/>
    <col min="498" max="498" width="12.140625" style="59" customWidth="1"/>
    <col min="499" max="501" width="0" style="59" hidden="1" customWidth="1"/>
    <col min="502" max="502" width="15.140625" style="59" customWidth="1"/>
    <col min="503" max="503" width="12.28515625" style="59" customWidth="1"/>
    <col min="504" max="504" width="14.140625" style="59" customWidth="1"/>
    <col min="505" max="505" width="12.7109375" style="59" customWidth="1"/>
    <col min="506" max="506" width="12" style="59" bestFit="1" customWidth="1"/>
    <col min="507" max="507" width="15.5703125" style="59" customWidth="1"/>
    <col min="508" max="508" width="14.7109375" style="59" customWidth="1"/>
    <col min="509" max="509" width="13.5703125" style="59" customWidth="1"/>
    <col min="510" max="510" width="12.85546875" style="59" customWidth="1"/>
    <col min="511" max="511" width="13.7109375" style="59" bestFit="1" customWidth="1"/>
    <col min="512" max="512" width="12.28515625" style="59" customWidth="1"/>
    <col min="513" max="513" width="12.140625" style="59" customWidth="1"/>
    <col min="514" max="514" width="13.85546875" style="59" bestFit="1" customWidth="1"/>
    <col min="515" max="515" width="14.5703125" style="59" customWidth="1"/>
    <col min="516" max="516" width="18" style="59" customWidth="1"/>
    <col min="517" max="517" width="13.28515625" style="59" customWidth="1"/>
    <col min="518" max="518" width="6.85546875" style="59" customWidth="1"/>
    <col min="519" max="519" width="10.5703125" style="59" customWidth="1"/>
    <col min="520" max="520" width="17.140625" style="59" customWidth="1"/>
    <col min="521" max="524" width="9.140625" style="59"/>
    <col min="525" max="525" width="11.5703125" style="59" customWidth="1"/>
    <col min="526" max="526" width="11.7109375" style="59" customWidth="1"/>
    <col min="527" max="527" width="9.140625" style="59"/>
    <col min="528" max="528" width="10.85546875" style="59" customWidth="1"/>
    <col min="529" max="529" width="9.140625" style="59"/>
    <col min="530" max="531" width="11.42578125" style="59" customWidth="1"/>
    <col min="532" max="537" width="9.140625" style="59"/>
    <col min="538" max="538" width="13.42578125" style="59" bestFit="1" customWidth="1"/>
    <col min="539" max="539" width="21" style="59" bestFit="1" customWidth="1"/>
    <col min="540" max="540" width="14.5703125" style="59" customWidth="1"/>
    <col min="541" max="541" width="15" style="59" bestFit="1" customWidth="1"/>
    <col min="542" max="542" width="9.140625" style="59"/>
    <col min="543" max="543" width="16" style="59" customWidth="1"/>
    <col min="544" max="545" width="11.42578125" style="59" customWidth="1"/>
    <col min="546" max="548" width="9.28515625" style="59" bestFit="1" customWidth="1"/>
    <col min="549" max="549" width="11.140625" style="59" bestFit="1" customWidth="1"/>
    <col min="550" max="745" width="9.140625" style="59"/>
    <col min="746" max="746" width="5.28515625" style="59" customWidth="1"/>
    <col min="747" max="747" width="11.140625" style="59" bestFit="1" customWidth="1"/>
    <col min="748" max="748" width="8" style="59" bestFit="1" customWidth="1"/>
    <col min="749" max="749" width="32.7109375" style="59" customWidth="1"/>
    <col min="750" max="750" width="13.140625" style="59" bestFit="1" customWidth="1"/>
    <col min="751" max="751" width="12.5703125" style="59" bestFit="1" customWidth="1"/>
    <col min="752" max="752" width="6.28515625" style="59" customWidth="1"/>
    <col min="753" max="753" width="26.7109375" style="59" bestFit="1" customWidth="1"/>
    <col min="754" max="754" width="12.140625" style="59" customWidth="1"/>
    <col min="755" max="757" width="0" style="59" hidden="1" customWidth="1"/>
    <col min="758" max="758" width="15.140625" style="59" customWidth="1"/>
    <col min="759" max="759" width="12.28515625" style="59" customWidth="1"/>
    <col min="760" max="760" width="14.140625" style="59" customWidth="1"/>
    <col min="761" max="761" width="12.7109375" style="59" customWidth="1"/>
    <col min="762" max="762" width="12" style="59" bestFit="1" customWidth="1"/>
    <col min="763" max="763" width="15.5703125" style="59" customWidth="1"/>
    <col min="764" max="764" width="14.7109375" style="59" customWidth="1"/>
    <col min="765" max="765" width="13.5703125" style="59" customWidth="1"/>
    <col min="766" max="766" width="12.85546875" style="59" customWidth="1"/>
    <col min="767" max="767" width="13.7109375" style="59" bestFit="1" customWidth="1"/>
    <col min="768" max="768" width="12.28515625" style="59" customWidth="1"/>
    <col min="769" max="769" width="12.140625" style="59" customWidth="1"/>
    <col min="770" max="770" width="13.85546875" style="59" bestFit="1" customWidth="1"/>
    <col min="771" max="771" width="14.5703125" style="59" customWidth="1"/>
    <col min="772" max="772" width="18" style="59" customWidth="1"/>
    <col min="773" max="773" width="13.28515625" style="59" customWidth="1"/>
    <col min="774" max="774" width="6.85546875" style="59" customWidth="1"/>
    <col min="775" max="775" width="10.5703125" style="59" customWidth="1"/>
    <col min="776" max="776" width="17.140625" style="59" customWidth="1"/>
    <col min="777" max="780" width="9.140625" style="59"/>
    <col min="781" max="781" width="11.5703125" style="59" customWidth="1"/>
    <col min="782" max="782" width="11.7109375" style="59" customWidth="1"/>
    <col min="783" max="783" width="9.140625" style="59"/>
    <col min="784" max="784" width="10.85546875" style="59" customWidth="1"/>
    <col min="785" max="785" width="9.140625" style="59"/>
    <col min="786" max="787" width="11.42578125" style="59" customWidth="1"/>
    <col min="788" max="793" width="9.140625" style="59"/>
    <col min="794" max="794" width="13.42578125" style="59" bestFit="1" customWidth="1"/>
    <col min="795" max="795" width="21" style="59" bestFit="1" customWidth="1"/>
    <col min="796" max="796" width="14.5703125" style="59" customWidth="1"/>
    <col min="797" max="797" width="15" style="59" bestFit="1" customWidth="1"/>
    <col min="798" max="798" width="9.140625" style="59"/>
    <col min="799" max="799" width="16" style="59" customWidth="1"/>
    <col min="800" max="801" width="11.42578125" style="59" customWidth="1"/>
    <col min="802" max="804" width="9.28515625" style="59" bestFit="1" customWidth="1"/>
    <col min="805" max="805" width="11.140625" style="59" bestFit="1" customWidth="1"/>
    <col min="806" max="1001" width="9.140625" style="59"/>
    <col min="1002" max="1002" width="5.28515625" style="59" customWidth="1"/>
    <col min="1003" max="1003" width="11.140625" style="59" bestFit="1" customWidth="1"/>
    <col min="1004" max="1004" width="8" style="59" bestFit="1" customWidth="1"/>
    <col min="1005" max="1005" width="32.7109375" style="59" customWidth="1"/>
    <col min="1006" max="1006" width="13.140625" style="59" bestFit="1" customWidth="1"/>
    <col min="1007" max="1007" width="12.5703125" style="59" bestFit="1" customWidth="1"/>
    <col min="1008" max="1008" width="6.28515625" style="59" customWidth="1"/>
    <col min="1009" max="1009" width="26.7109375" style="59" bestFit="1" customWidth="1"/>
    <col min="1010" max="1010" width="12.140625" style="59" customWidth="1"/>
    <col min="1011" max="1013" width="0" style="59" hidden="1" customWidth="1"/>
    <col min="1014" max="1014" width="15.140625" style="59" customWidth="1"/>
    <col min="1015" max="1015" width="12.28515625" style="59" customWidth="1"/>
    <col min="1016" max="1016" width="14.140625" style="59" customWidth="1"/>
    <col min="1017" max="1017" width="12.7109375" style="59" customWidth="1"/>
    <col min="1018" max="1018" width="12" style="59" bestFit="1" customWidth="1"/>
    <col min="1019" max="1019" width="15.5703125" style="59" customWidth="1"/>
    <col min="1020" max="1020" width="14.7109375" style="59" customWidth="1"/>
    <col min="1021" max="1021" width="13.5703125" style="59" customWidth="1"/>
    <col min="1022" max="1022" width="12.85546875" style="59" customWidth="1"/>
    <col min="1023" max="1023" width="13.7109375" style="59" bestFit="1" customWidth="1"/>
    <col min="1024" max="1024" width="12.28515625" style="59" customWidth="1"/>
    <col min="1025" max="1025" width="12.140625" style="59" customWidth="1"/>
    <col min="1026" max="1026" width="13.85546875" style="59" bestFit="1" customWidth="1"/>
    <col min="1027" max="1027" width="14.5703125" style="59" customWidth="1"/>
    <col min="1028" max="1028" width="18" style="59" customWidth="1"/>
    <col min="1029" max="1029" width="13.28515625" style="59" customWidth="1"/>
    <col min="1030" max="1030" width="6.85546875" style="59" customWidth="1"/>
    <col min="1031" max="1031" width="10.5703125" style="59" customWidth="1"/>
    <col min="1032" max="1032" width="17.140625" style="59" customWidth="1"/>
    <col min="1033" max="1036" width="9.140625" style="59"/>
    <col min="1037" max="1037" width="11.5703125" style="59" customWidth="1"/>
    <col min="1038" max="1038" width="11.7109375" style="59" customWidth="1"/>
    <col min="1039" max="1039" width="9.140625" style="59"/>
    <col min="1040" max="1040" width="10.85546875" style="59" customWidth="1"/>
    <col min="1041" max="1041" width="9.140625" style="59"/>
    <col min="1042" max="1043" width="11.42578125" style="59" customWidth="1"/>
    <col min="1044" max="1049" width="9.140625" style="59"/>
    <col min="1050" max="1050" width="13.42578125" style="59" bestFit="1" customWidth="1"/>
    <col min="1051" max="1051" width="21" style="59" bestFit="1" customWidth="1"/>
    <col min="1052" max="1052" width="14.5703125" style="59" customWidth="1"/>
    <col min="1053" max="1053" width="15" style="59" bestFit="1" customWidth="1"/>
    <col min="1054" max="1054" width="9.140625" style="59"/>
    <col min="1055" max="1055" width="16" style="59" customWidth="1"/>
    <col min="1056" max="1057" width="11.42578125" style="59" customWidth="1"/>
    <col min="1058" max="1060" width="9.28515625" style="59" bestFit="1" customWidth="1"/>
    <col min="1061" max="1061" width="11.140625" style="59" bestFit="1" customWidth="1"/>
    <col min="1062" max="1257" width="9.140625" style="59"/>
    <col min="1258" max="1258" width="5.28515625" style="59" customWidth="1"/>
    <col min="1259" max="1259" width="11.140625" style="59" bestFit="1" customWidth="1"/>
    <col min="1260" max="1260" width="8" style="59" bestFit="1" customWidth="1"/>
    <col min="1261" max="1261" width="32.7109375" style="59" customWidth="1"/>
    <col min="1262" max="1262" width="13.140625" style="59" bestFit="1" customWidth="1"/>
    <col min="1263" max="1263" width="12.5703125" style="59" bestFit="1" customWidth="1"/>
    <col min="1264" max="1264" width="6.28515625" style="59" customWidth="1"/>
    <col min="1265" max="1265" width="26.7109375" style="59" bestFit="1" customWidth="1"/>
    <col min="1266" max="1266" width="12.140625" style="59" customWidth="1"/>
    <col min="1267" max="1269" width="0" style="59" hidden="1" customWidth="1"/>
    <col min="1270" max="1270" width="15.140625" style="59" customWidth="1"/>
    <col min="1271" max="1271" width="12.28515625" style="59" customWidth="1"/>
    <col min="1272" max="1272" width="14.140625" style="59" customWidth="1"/>
    <col min="1273" max="1273" width="12.7109375" style="59" customWidth="1"/>
    <col min="1274" max="1274" width="12" style="59" bestFit="1" customWidth="1"/>
    <col min="1275" max="1275" width="15.5703125" style="59" customWidth="1"/>
    <col min="1276" max="1276" width="14.7109375" style="59" customWidth="1"/>
    <col min="1277" max="1277" width="13.5703125" style="59" customWidth="1"/>
    <col min="1278" max="1278" width="12.85546875" style="59" customWidth="1"/>
    <col min="1279" max="1279" width="13.7109375" style="59" bestFit="1" customWidth="1"/>
    <col min="1280" max="1280" width="12.28515625" style="59" customWidth="1"/>
    <col min="1281" max="1281" width="12.140625" style="59" customWidth="1"/>
    <col min="1282" max="1282" width="13.85546875" style="59" bestFit="1" customWidth="1"/>
    <col min="1283" max="1283" width="14.5703125" style="59" customWidth="1"/>
    <col min="1284" max="1284" width="18" style="59" customWidth="1"/>
    <col min="1285" max="1285" width="13.28515625" style="59" customWidth="1"/>
    <col min="1286" max="1286" width="6.85546875" style="59" customWidth="1"/>
    <col min="1287" max="1287" width="10.5703125" style="59" customWidth="1"/>
    <col min="1288" max="1288" width="17.140625" style="59" customWidth="1"/>
    <col min="1289" max="1292" width="9.140625" style="59"/>
    <col min="1293" max="1293" width="11.5703125" style="59" customWidth="1"/>
    <col min="1294" max="1294" width="11.7109375" style="59" customWidth="1"/>
    <col min="1295" max="1295" width="9.140625" style="59"/>
    <col min="1296" max="1296" width="10.85546875" style="59" customWidth="1"/>
    <col min="1297" max="1297" width="9.140625" style="59"/>
    <col min="1298" max="1299" width="11.42578125" style="59" customWidth="1"/>
    <col min="1300" max="1305" width="9.140625" style="59"/>
    <col min="1306" max="1306" width="13.42578125" style="59" bestFit="1" customWidth="1"/>
    <col min="1307" max="1307" width="21" style="59" bestFit="1" customWidth="1"/>
    <col min="1308" max="1308" width="14.5703125" style="59" customWidth="1"/>
    <col min="1309" max="1309" width="15" style="59" bestFit="1" customWidth="1"/>
    <col min="1310" max="1310" width="9.140625" style="59"/>
    <col min="1311" max="1311" width="16" style="59" customWidth="1"/>
    <col min="1312" max="1313" width="11.42578125" style="59" customWidth="1"/>
    <col min="1314" max="1316" width="9.28515625" style="59" bestFit="1" customWidth="1"/>
    <col min="1317" max="1317" width="11.140625" style="59" bestFit="1" customWidth="1"/>
    <col min="1318" max="1513" width="9.140625" style="59"/>
    <col min="1514" max="1514" width="5.28515625" style="59" customWidth="1"/>
    <col min="1515" max="1515" width="11.140625" style="59" bestFit="1" customWidth="1"/>
    <col min="1516" max="1516" width="8" style="59" bestFit="1" customWidth="1"/>
    <col min="1517" max="1517" width="32.7109375" style="59" customWidth="1"/>
    <col min="1518" max="1518" width="13.140625" style="59" bestFit="1" customWidth="1"/>
    <col min="1519" max="1519" width="12.5703125" style="59" bestFit="1" customWidth="1"/>
    <col min="1520" max="1520" width="6.28515625" style="59" customWidth="1"/>
    <col min="1521" max="1521" width="26.7109375" style="59" bestFit="1" customWidth="1"/>
    <col min="1522" max="1522" width="12.140625" style="59" customWidth="1"/>
    <col min="1523" max="1525" width="0" style="59" hidden="1" customWidth="1"/>
    <col min="1526" max="1526" width="15.140625" style="59" customWidth="1"/>
    <col min="1527" max="1527" width="12.28515625" style="59" customWidth="1"/>
    <col min="1528" max="1528" width="14.140625" style="59" customWidth="1"/>
    <col min="1529" max="1529" width="12.7109375" style="59" customWidth="1"/>
    <col min="1530" max="1530" width="12" style="59" bestFit="1" customWidth="1"/>
    <col min="1531" max="1531" width="15.5703125" style="59" customWidth="1"/>
    <col min="1532" max="1532" width="14.7109375" style="59" customWidth="1"/>
    <col min="1533" max="1533" width="13.5703125" style="59" customWidth="1"/>
    <col min="1534" max="1534" width="12.85546875" style="59" customWidth="1"/>
    <col min="1535" max="1535" width="13.7109375" style="59" bestFit="1" customWidth="1"/>
    <col min="1536" max="1536" width="12.28515625" style="59" customWidth="1"/>
    <col min="1537" max="1537" width="12.140625" style="59" customWidth="1"/>
    <col min="1538" max="1538" width="13.85546875" style="59" bestFit="1" customWidth="1"/>
    <col min="1539" max="1539" width="14.5703125" style="59" customWidth="1"/>
    <col min="1540" max="1540" width="18" style="59" customWidth="1"/>
    <col min="1541" max="1541" width="13.28515625" style="59" customWidth="1"/>
    <col min="1542" max="1542" width="6.85546875" style="59" customWidth="1"/>
    <col min="1543" max="1543" width="10.5703125" style="59" customWidth="1"/>
    <col min="1544" max="1544" width="17.140625" style="59" customWidth="1"/>
    <col min="1545" max="1548" width="9.140625" style="59"/>
    <col min="1549" max="1549" width="11.5703125" style="59" customWidth="1"/>
    <col min="1550" max="1550" width="11.7109375" style="59" customWidth="1"/>
    <col min="1551" max="1551" width="9.140625" style="59"/>
    <col min="1552" max="1552" width="10.85546875" style="59" customWidth="1"/>
    <col min="1553" max="1553" width="9.140625" style="59"/>
    <col min="1554" max="1555" width="11.42578125" style="59" customWidth="1"/>
    <col min="1556" max="1561" width="9.140625" style="59"/>
    <col min="1562" max="1562" width="13.42578125" style="59" bestFit="1" customWidth="1"/>
    <col min="1563" max="1563" width="21" style="59" bestFit="1" customWidth="1"/>
    <col min="1564" max="1564" width="14.5703125" style="59" customWidth="1"/>
    <col min="1565" max="1565" width="15" style="59" bestFit="1" customWidth="1"/>
    <col min="1566" max="1566" width="9.140625" style="59"/>
    <col min="1567" max="1567" width="16" style="59" customWidth="1"/>
    <col min="1568" max="1569" width="11.42578125" style="59" customWidth="1"/>
    <col min="1570" max="1572" width="9.28515625" style="59" bestFit="1" customWidth="1"/>
    <col min="1573" max="1573" width="11.140625" style="59" bestFit="1" customWidth="1"/>
    <col min="1574" max="1769" width="9.140625" style="59"/>
    <col min="1770" max="1770" width="5.28515625" style="59" customWidth="1"/>
    <col min="1771" max="1771" width="11.140625" style="59" bestFit="1" customWidth="1"/>
    <col min="1772" max="1772" width="8" style="59" bestFit="1" customWidth="1"/>
    <col min="1773" max="1773" width="32.7109375" style="59" customWidth="1"/>
    <col min="1774" max="1774" width="13.140625" style="59" bestFit="1" customWidth="1"/>
    <col min="1775" max="1775" width="12.5703125" style="59" bestFit="1" customWidth="1"/>
    <col min="1776" max="1776" width="6.28515625" style="59" customWidth="1"/>
    <col min="1777" max="1777" width="26.7109375" style="59" bestFit="1" customWidth="1"/>
    <col min="1778" max="1778" width="12.140625" style="59" customWidth="1"/>
    <col min="1779" max="1781" width="0" style="59" hidden="1" customWidth="1"/>
    <col min="1782" max="1782" width="15.140625" style="59" customWidth="1"/>
    <col min="1783" max="1783" width="12.28515625" style="59" customWidth="1"/>
    <col min="1784" max="1784" width="14.140625" style="59" customWidth="1"/>
    <col min="1785" max="1785" width="12.7109375" style="59" customWidth="1"/>
    <col min="1786" max="1786" width="12" style="59" bestFit="1" customWidth="1"/>
    <col min="1787" max="1787" width="15.5703125" style="59" customWidth="1"/>
    <col min="1788" max="1788" width="14.7109375" style="59" customWidth="1"/>
    <col min="1789" max="1789" width="13.5703125" style="59" customWidth="1"/>
    <col min="1790" max="1790" width="12.85546875" style="59" customWidth="1"/>
    <col min="1791" max="1791" width="13.7109375" style="59" bestFit="1" customWidth="1"/>
    <col min="1792" max="1792" width="12.28515625" style="59" customWidth="1"/>
    <col min="1793" max="1793" width="12.140625" style="59" customWidth="1"/>
    <col min="1794" max="1794" width="13.85546875" style="59" bestFit="1" customWidth="1"/>
    <col min="1795" max="1795" width="14.5703125" style="59" customWidth="1"/>
    <col min="1796" max="1796" width="18" style="59" customWidth="1"/>
    <col min="1797" max="1797" width="13.28515625" style="59" customWidth="1"/>
    <col min="1798" max="1798" width="6.85546875" style="59" customWidth="1"/>
    <col min="1799" max="1799" width="10.5703125" style="59" customWidth="1"/>
    <col min="1800" max="1800" width="17.140625" style="59" customWidth="1"/>
    <col min="1801" max="1804" width="9.140625" style="59"/>
    <col min="1805" max="1805" width="11.5703125" style="59" customWidth="1"/>
    <col min="1806" max="1806" width="11.7109375" style="59" customWidth="1"/>
    <col min="1807" max="1807" width="9.140625" style="59"/>
    <col min="1808" max="1808" width="10.85546875" style="59" customWidth="1"/>
    <col min="1809" max="1809" width="9.140625" style="59"/>
    <col min="1810" max="1811" width="11.42578125" style="59" customWidth="1"/>
    <col min="1812" max="1817" width="9.140625" style="59"/>
    <col min="1818" max="1818" width="13.42578125" style="59" bestFit="1" customWidth="1"/>
    <col min="1819" max="1819" width="21" style="59" bestFit="1" customWidth="1"/>
    <col min="1820" max="1820" width="14.5703125" style="59" customWidth="1"/>
    <col min="1821" max="1821" width="15" style="59" bestFit="1" customWidth="1"/>
    <col min="1822" max="1822" width="9.140625" style="59"/>
    <col min="1823" max="1823" width="16" style="59" customWidth="1"/>
    <col min="1824" max="1825" width="11.42578125" style="59" customWidth="1"/>
    <col min="1826" max="1828" width="9.28515625" style="59" bestFit="1" customWidth="1"/>
    <col min="1829" max="1829" width="11.140625" style="59" bestFit="1" customWidth="1"/>
    <col min="1830" max="2025" width="9.140625" style="59"/>
    <col min="2026" max="2026" width="5.28515625" style="59" customWidth="1"/>
    <col min="2027" max="2027" width="11.140625" style="59" bestFit="1" customWidth="1"/>
    <col min="2028" max="2028" width="8" style="59" bestFit="1" customWidth="1"/>
    <col min="2029" max="2029" width="32.7109375" style="59" customWidth="1"/>
    <col min="2030" max="2030" width="13.140625" style="59" bestFit="1" customWidth="1"/>
    <col min="2031" max="2031" width="12.5703125" style="59" bestFit="1" customWidth="1"/>
    <col min="2032" max="2032" width="6.28515625" style="59" customWidth="1"/>
    <col min="2033" max="2033" width="26.7109375" style="59" bestFit="1" customWidth="1"/>
    <col min="2034" max="2034" width="12.140625" style="59" customWidth="1"/>
    <col min="2035" max="2037" width="0" style="59" hidden="1" customWidth="1"/>
    <col min="2038" max="2038" width="15.140625" style="59" customWidth="1"/>
    <col min="2039" max="2039" width="12.28515625" style="59" customWidth="1"/>
    <col min="2040" max="2040" width="14.140625" style="59" customWidth="1"/>
    <col min="2041" max="2041" width="12.7109375" style="59" customWidth="1"/>
    <col min="2042" max="2042" width="12" style="59" bestFit="1" customWidth="1"/>
    <col min="2043" max="2043" width="15.5703125" style="59" customWidth="1"/>
    <col min="2044" max="2044" width="14.7109375" style="59" customWidth="1"/>
    <col min="2045" max="2045" width="13.5703125" style="59" customWidth="1"/>
    <col min="2046" max="2046" width="12.85546875" style="59" customWidth="1"/>
    <col min="2047" max="2047" width="13.7109375" style="59" bestFit="1" customWidth="1"/>
    <col min="2048" max="2048" width="12.28515625" style="59" customWidth="1"/>
    <col min="2049" max="2049" width="12.140625" style="59" customWidth="1"/>
    <col min="2050" max="2050" width="13.85546875" style="59" bestFit="1" customWidth="1"/>
    <col min="2051" max="2051" width="14.5703125" style="59" customWidth="1"/>
    <col min="2052" max="2052" width="18" style="59" customWidth="1"/>
    <col min="2053" max="2053" width="13.28515625" style="59" customWidth="1"/>
    <col min="2054" max="2054" width="6.85546875" style="59" customWidth="1"/>
    <col min="2055" max="2055" width="10.5703125" style="59" customWidth="1"/>
    <col min="2056" max="2056" width="17.140625" style="59" customWidth="1"/>
    <col min="2057" max="2060" width="9.140625" style="59"/>
    <col min="2061" max="2061" width="11.5703125" style="59" customWidth="1"/>
    <col min="2062" max="2062" width="11.7109375" style="59" customWidth="1"/>
    <col min="2063" max="2063" width="9.140625" style="59"/>
    <col min="2064" max="2064" width="10.85546875" style="59" customWidth="1"/>
    <col min="2065" max="2065" width="9.140625" style="59"/>
    <col min="2066" max="2067" width="11.42578125" style="59" customWidth="1"/>
    <col min="2068" max="2073" width="9.140625" style="59"/>
    <col min="2074" max="2074" width="13.42578125" style="59" bestFit="1" customWidth="1"/>
    <col min="2075" max="2075" width="21" style="59" bestFit="1" customWidth="1"/>
    <col min="2076" max="2076" width="14.5703125" style="59" customWidth="1"/>
    <col min="2077" max="2077" width="15" style="59" bestFit="1" customWidth="1"/>
    <col min="2078" max="2078" width="9.140625" style="59"/>
    <col min="2079" max="2079" width="16" style="59" customWidth="1"/>
    <col min="2080" max="2081" width="11.42578125" style="59" customWidth="1"/>
    <col min="2082" max="2084" width="9.28515625" style="59" bestFit="1" customWidth="1"/>
    <col min="2085" max="2085" width="11.140625" style="59" bestFit="1" customWidth="1"/>
    <col min="2086" max="2281" width="9.140625" style="59"/>
    <col min="2282" max="2282" width="5.28515625" style="59" customWidth="1"/>
    <col min="2283" max="2283" width="11.140625" style="59" bestFit="1" customWidth="1"/>
    <col min="2284" max="2284" width="8" style="59" bestFit="1" customWidth="1"/>
    <col min="2285" max="2285" width="32.7109375" style="59" customWidth="1"/>
    <col min="2286" max="2286" width="13.140625" style="59" bestFit="1" customWidth="1"/>
    <col min="2287" max="2287" width="12.5703125" style="59" bestFit="1" customWidth="1"/>
    <col min="2288" max="2288" width="6.28515625" style="59" customWidth="1"/>
    <col min="2289" max="2289" width="26.7109375" style="59" bestFit="1" customWidth="1"/>
    <col min="2290" max="2290" width="12.140625" style="59" customWidth="1"/>
    <col min="2291" max="2293" width="0" style="59" hidden="1" customWidth="1"/>
    <col min="2294" max="2294" width="15.140625" style="59" customWidth="1"/>
    <col min="2295" max="2295" width="12.28515625" style="59" customWidth="1"/>
    <col min="2296" max="2296" width="14.140625" style="59" customWidth="1"/>
    <col min="2297" max="2297" width="12.7109375" style="59" customWidth="1"/>
    <col min="2298" max="2298" width="12" style="59" bestFit="1" customWidth="1"/>
    <col min="2299" max="2299" width="15.5703125" style="59" customWidth="1"/>
    <col min="2300" max="2300" width="14.7109375" style="59" customWidth="1"/>
    <col min="2301" max="2301" width="13.5703125" style="59" customWidth="1"/>
    <col min="2302" max="2302" width="12.85546875" style="59" customWidth="1"/>
    <col min="2303" max="2303" width="13.7109375" style="59" bestFit="1" customWidth="1"/>
    <col min="2304" max="2304" width="12.28515625" style="59" customWidth="1"/>
    <col min="2305" max="2305" width="12.140625" style="59" customWidth="1"/>
    <col min="2306" max="2306" width="13.85546875" style="59" bestFit="1" customWidth="1"/>
    <col min="2307" max="2307" width="14.5703125" style="59" customWidth="1"/>
    <col min="2308" max="2308" width="18" style="59" customWidth="1"/>
    <col min="2309" max="2309" width="13.28515625" style="59" customWidth="1"/>
    <col min="2310" max="2310" width="6.85546875" style="59" customWidth="1"/>
    <col min="2311" max="2311" width="10.5703125" style="59" customWidth="1"/>
    <col min="2312" max="2312" width="17.140625" style="59" customWidth="1"/>
    <col min="2313" max="2316" width="9.140625" style="59"/>
    <col min="2317" max="2317" width="11.5703125" style="59" customWidth="1"/>
    <col min="2318" max="2318" width="11.7109375" style="59" customWidth="1"/>
    <col min="2319" max="2319" width="9.140625" style="59"/>
    <col min="2320" max="2320" width="10.85546875" style="59" customWidth="1"/>
    <col min="2321" max="2321" width="9.140625" style="59"/>
    <col min="2322" max="2323" width="11.42578125" style="59" customWidth="1"/>
    <col min="2324" max="2329" width="9.140625" style="59"/>
    <col min="2330" max="2330" width="13.42578125" style="59" bestFit="1" customWidth="1"/>
    <col min="2331" max="2331" width="21" style="59" bestFit="1" customWidth="1"/>
    <col min="2332" max="2332" width="14.5703125" style="59" customWidth="1"/>
    <col min="2333" max="2333" width="15" style="59" bestFit="1" customWidth="1"/>
    <col min="2334" max="2334" width="9.140625" style="59"/>
    <col min="2335" max="2335" width="16" style="59" customWidth="1"/>
    <col min="2336" max="2337" width="11.42578125" style="59" customWidth="1"/>
    <col min="2338" max="2340" width="9.28515625" style="59" bestFit="1" customWidth="1"/>
    <col min="2341" max="2341" width="11.140625" style="59" bestFit="1" customWidth="1"/>
    <col min="2342" max="2537" width="9.140625" style="59"/>
    <col min="2538" max="2538" width="5.28515625" style="59" customWidth="1"/>
    <col min="2539" max="2539" width="11.140625" style="59" bestFit="1" customWidth="1"/>
    <col min="2540" max="2540" width="8" style="59" bestFit="1" customWidth="1"/>
    <col min="2541" max="2541" width="32.7109375" style="59" customWidth="1"/>
    <col min="2542" max="2542" width="13.140625" style="59" bestFit="1" customWidth="1"/>
    <col min="2543" max="2543" width="12.5703125" style="59" bestFit="1" customWidth="1"/>
    <col min="2544" max="2544" width="6.28515625" style="59" customWidth="1"/>
    <col min="2545" max="2545" width="26.7109375" style="59" bestFit="1" customWidth="1"/>
    <col min="2546" max="2546" width="12.140625" style="59" customWidth="1"/>
    <col min="2547" max="2549" width="0" style="59" hidden="1" customWidth="1"/>
    <col min="2550" max="2550" width="15.140625" style="59" customWidth="1"/>
    <col min="2551" max="2551" width="12.28515625" style="59" customWidth="1"/>
    <col min="2552" max="2552" width="14.140625" style="59" customWidth="1"/>
    <col min="2553" max="2553" width="12.7109375" style="59" customWidth="1"/>
    <col min="2554" max="2554" width="12" style="59" bestFit="1" customWidth="1"/>
    <col min="2555" max="2555" width="15.5703125" style="59" customWidth="1"/>
    <col min="2556" max="2556" width="14.7109375" style="59" customWidth="1"/>
    <col min="2557" max="2557" width="13.5703125" style="59" customWidth="1"/>
    <col min="2558" max="2558" width="12.85546875" style="59" customWidth="1"/>
    <col min="2559" max="2559" width="13.7109375" style="59" bestFit="1" customWidth="1"/>
    <col min="2560" max="2560" width="12.28515625" style="59" customWidth="1"/>
    <col min="2561" max="2561" width="12.140625" style="59" customWidth="1"/>
    <col min="2562" max="2562" width="13.85546875" style="59" bestFit="1" customWidth="1"/>
    <col min="2563" max="2563" width="14.5703125" style="59" customWidth="1"/>
    <col min="2564" max="2564" width="18" style="59" customWidth="1"/>
    <col min="2565" max="2565" width="13.28515625" style="59" customWidth="1"/>
    <col min="2566" max="2566" width="6.85546875" style="59" customWidth="1"/>
    <col min="2567" max="2567" width="10.5703125" style="59" customWidth="1"/>
    <col min="2568" max="2568" width="17.140625" style="59" customWidth="1"/>
    <col min="2569" max="2572" width="9.140625" style="59"/>
    <col min="2573" max="2573" width="11.5703125" style="59" customWidth="1"/>
    <col min="2574" max="2574" width="11.7109375" style="59" customWidth="1"/>
    <col min="2575" max="2575" width="9.140625" style="59"/>
    <col min="2576" max="2576" width="10.85546875" style="59" customWidth="1"/>
    <col min="2577" max="2577" width="9.140625" style="59"/>
    <col min="2578" max="2579" width="11.42578125" style="59" customWidth="1"/>
    <col min="2580" max="2585" width="9.140625" style="59"/>
    <col min="2586" max="2586" width="13.42578125" style="59" bestFit="1" customWidth="1"/>
    <col min="2587" max="2587" width="21" style="59" bestFit="1" customWidth="1"/>
    <col min="2588" max="2588" width="14.5703125" style="59" customWidth="1"/>
    <col min="2589" max="2589" width="15" style="59" bestFit="1" customWidth="1"/>
    <col min="2590" max="2590" width="9.140625" style="59"/>
    <col min="2591" max="2591" width="16" style="59" customWidth="1"/>
    <col min="2592" max="2593" width="11.42578125" style="59" customWidth="1"/>
    <col min="2594" max="2596" width="9.28515625" style="59" bestFit="1" customWidth="1"/>
    <col min="2597" max="2597" width="11.140625" style="59" bestFit="1" customWidth="1"/>
    <col min="2598" max="2793" width="9.140625" style="59"/>
    <col min="2794" max="2794" width="5.28515625" style="59" customWidth="1"/>
    <col min="2795" max="2795" width="11.140625" style="59" bestFit="1" customWidth="1"/>
    <col min="2796" max="2796" width="8" style="59" bestFit="1" customWidth="1"/>
    <col min="2797" max="2797" width="32.7109375" style="59" customWidth="1"/>
    <col min="2798" max="2798" width="13.140625" style="59" bestFit="1" customWidth="1"/>
    <col min="2799" max="2799" width="12.5703125" style="59" bestFit="1" customWidth="1"/>
    <col min="2800" max="2800" width="6.28515625" style="59" customWidth="1"/>
    <col min="2801" max="2801" width="26.7109375" style="59" bestFit="1" customWidth="1"/>
    <col min="2802" max="2802" width="12.140625" style="59" customWidth="1"/>
    <col min="2803" max="2805" width="0" style="59" hidden="1" customWidth="1"/>
    <col min="2806" max="2806" width="15.140625" style="59" customWidth="1"/>
    <col min="2807" max="2807" width="12.28515625" style="59" customWidth="1"/>
    <col min="2808" max="2808" width="14.140625" style="59" customWidth="1"/>
    <col min="2809" max="2809" width="12.7109375" style="59" customWidth="1"/>
    <col min="2810" max="2810" width="12" style="59" bestFit="1" customWidth="1"/>
    <col min="2811" max="2811" width="15.5703125" style="59" customWidth="1"/>
    <col min="2812" max="2812" width="14.7109375" style="59" customWidth="1"/>
    <col min="2813" max="2813" width="13.5703125" style="59" customWidth="1"/>
    <col min="2814" max="2814" width="12.85546875" style="59" customWidth="1"/>
    <col min="2815" max="2815" width="13.7109375" style="59" bestFit="1" customWidth="1"/>
    <col min="2816" max="2816" width="12.28515625" style="59" customWidth="1"/>
    <col min="2817" max="2817" width="12.140625" style="59" customWidth="1"/>
    <col min="2818" max="2818" width="13.85546875" style="59" bestFit="1" customWidth="1"/>
    <col min="2819" max="2819" width="14.5703125" style="59" customWidth="1"/>
    <col min="2820" max="2820" width="18" style="59" customWidth="1"/>
    <col min="2821" max="2821" width="13.28515625" style="59" customWidth="1"/>
    <col min="2822" max="2822" width="6.85546875" style="59" customWidth="1"/>
    <col min="2823" max="2823" width="10.5703125" style="59" customWidth="1"/>
    <col min="2824" max="2824" width="17.140625" style="59" customWidth="1"/>
    <col min="2825" max="2828" width="9.140625" style="59"/>
    <col min="2829" max="2829" width="11.5703125" style="59" customWidth="1"/>
    <col min="2830" max="2830" width="11.7109375" style="59" customWidth="1"/>
    <col min="2831" max="2831" width="9.140625" style="59"/>
    <col min="2832" max="2832" width="10.85546875" style="59" customWidth="1"/>
    <col min="2833" max="2833" width="9.140625" style="59"/>
    <col min="2834" max="2835" width="11.42578125" style="59" customWidth="1"/>
    <col min="2836" max="2841" width="9.140625" style="59"/>
    <col min="2842" max="2842" width="13.42578125" style="59" bestFit="1" customWidth="1"/>
    <col min="2843" max="2843" width="21" style="59" bestFit="1" customWidth="1"/>
    <col min="2844" max="2844" width="14.5703125" style="59" customWidth="1"/>
    <col min="2845" max="2845" width="15" style="59" bestFit="1" customWidth="1"/>
    <col min="2846" max="2846" width="9.140625" style="59"/>
    <col min="2847" max="2847" width="16" style="59" customWidth="1"/>
    <col min="2848" max="2849" width="11.42578125" style="59" customWidth="1"/>
    <col min="2850" max="2852" width="9.28515625" style="59" bestFit="1" customWidth="1"/>
    <col min="2853" max="2853" width="11.140625" style="59" bestFit="1" customWidth="1"/>
    <col min="2854" max="3049" width="9.140625" style="59"/>
    <col min="3050" max="3050" width="5.28515625" style="59" customWidth="1"/>
    <col min="3051" max="3051" width="11.140625" style="59" bestFit="1" customWidth="1"/>
    <col min="3052" max="3052" width="8" style="59" bestFit="1" customWidth="1"/>
    <col min="3053" max="3053" width="32.7109375" style="59" customWidth="1"/>
    <col min="3054" max="3054" width="13.140625" style="59" bestFit="1" customWidth="1"/>
    <col min="3055" max="3055" width="12.5703125" style="59" bestFit="1" customWidth="1"/>
    <col min="3056" max="3056" width="6.28515625" style="59" customWidth="1"/>
    <col min="3057" max="3057" width="26.7109375" style="59" bestFit="1" customWidth="1"/>
    <col min="3058" max="3058" width="12.140625" style="59" customWidth="1"/>
    <col min="3059" max="3061" width="0" style="59" hidden="1" customWidth="1"/>
    <col min="3062" max="3062" width="15.140625" style="59" customWidth="1"/>
    <col min="3063" max="3063" width="12.28515625" style="59" customWidth="1"/>
    <col min="3064" max="3064" width="14.140625" style="59" customWidth="1"/>
    <col min="3065" max="3065" width="12.7109375" style="59" customWidth="1"/>
    <col min="3066" max="3066" width="12" style="59" bestFit="1" customWidth="1"/>
    <col min="3067" max="3067" width="15.5703125" style="59" customWidth="1"/>
    <col min="3068" max="3068" width="14.7109375" style="59" customWidth="1"/>
    <col min="3069" max="3069" width="13.5703125" style="59" customWidth="1"/>
    <col min="3070" max="3070" width="12.85546875" style="59" customWidth="1"/>
    <col min="3071" max="3071" width="13.7109375" style="59" bestFit="1" customWidth="1"/>
    <col min="3072" max="3072" width="12.28515625" style="59" customWidth="1"/>
    <col min="3073" max="3073" width="12.140625" style="59" customWidth="1"/>
    <col min="3074" max="3074" width="13.85546875" style="59" bestFit="1" customWidth="1"/>
    <col min="3075" max="3075" width="14.5703125" style="59" customWidth="1"/>
    <col min="3076" max="3076" width="18" style="59" customWidth="1"/>
    <col min="3077" max="3077" width="13.28515625" style="59" customWidth="1"/>
    <col min="3078" max="3078" width="6.85546875" style="59" customWidth="1"/>
    <col min="3079" max="3079" width="10.5703125" style="59" customWidth="1"/>
    <col min="3080" max="3080" width="17.140625" style="59" customWidth="1"/>
    <col min="3081" max="3084" width="9.140625" style="59"/>
    <col min="3085" max="3085" width="11.5703125" style="59" customWidth="1"/>
    <col min="3086" max="3086" width="11.7109375" style="59" customWidth="1"/>
    <col min="3087" max="3087" width="9.140625" style="59"/>
    <col min="3088" max="3088" width="10.85546875" style="59" customWidth="1"/>
    <col min="3089" max="3089" width="9.140625" style="59"/>
    <col min="3090" max="3091" width="11.42578125" style="59" customWidth="1"/>
    <col min="3092" max="3097" width="9.140625" style="59"/>
    <col min="3098" max="3098" width="13.42578125" style="59" bestFit="1" customWidth="1"/>
    <col min="3099" max="3099" width="21" style="59" bestFit="1" customWidth="1"/>
    <col min="3100" max="3100" width="14.5703125" style="59" customWidth="1"/>
    <col min="3101" max="3101" width="15" style="59" bestFit="1" customWidth="1"/>
    <col min="3102" max="3102" width="9.140625" style="59"/>
    <col min="3103" max="3103" width="16" style="59" customWidth="1"/>
    <col min="3104" max="3105" width="11.42578125" style="59" customWidth="1"/>
    <col min="3106" max="3108" width="9.28515625" style="59" bestFit="1" customWidth="1"/>
    <col min="3109" max="3109" width="11.140625" style="59" bestFit="1" customWidth="1"/>
    <col min="3110" max="3305" width="9.140625" style="59"/>
    <col min="3306" max="3306" width="5.28515625" style="59" customWidth="1"/>
    <col min="3307" max="3307" width="11.140625" style="59" bestFit="1" customWidth="1"/>
    <col min="3308" max="3308" width="8" style="59" bestFit="1" customWidth="1"/>
    <col min="3309" max="3309" width="32.7109375" style="59" customWidth="1"/>
    <col min="3310" max="3310" width="13.140625" style="59" bestFit="1" customWidth="1"/>
    <col min="3311" max="3311" width="12.5703125" style="59" bestFit="1" customWidth="1"/>
    <col min="3312" max="3312" width="6.28515625" style="59" customWidth="1"/>
    <col min="3313" max="3313" width="26.7109375" style="59" bestFit="1" customWidth="1"/>
    <col min="3314" max="3314" width="12.140625" style="59" customWidth="1"/>
    <col min="3315" max="3317" width="0" style="59" hidden="1" customWidth="1"/>
    <col min="3318" max="3318" width="15.140625" style="59" customWidth="1"/>
    <col min="3319" max="3319" width="12.28515625" style="59" customWidth="1"/>
    <col min="3320" max="3320" width="14.140625" style="59" customWidth="1"/>
    <col min="3321" max="3321" width="12.7109375" style="59" customWidth="1"/>
    <col min="3322" max="3322" width="12" style="59" bestFit="1" customWidth="1"/>
    <col min="3323" max="3323" width="15.5703125" style="59" customWidth="1"/>
    <col min="3324" max="3324" width="14.7109375" style="59" customWidth="1"/>
    <col min="3325" max="3325" width="13.5703125" style="59" customWidth="1"/>
    <col min="3326" max="3326" width="12.85546875" style="59" customWidth="1"/>
    <col min="3327" max="3327" width="13.7109375" style="59" bestFit="1" customWidth="1"/>
    <col min="3328" max="3328" width="12.28515625" style="59" customWidth="1"/>
    <col min="3329" max="3329" width="12.140625" style="59" customWidth="1"/>
    <col min="3330" max="3330" width="13.85546875" style="59" bestFit="1" customWidth="1"/>
    <col min="3331" max="3331" width="14.5703125" style="59" customWidth="1"/>
    <col min="3332" max="3332" width="18" style="59" customWidth="1"/>
    <col min="3333" max="3333" width="13.28515625" style="59" customWidth="1"/>
    <col min="3334" max="3334" width="6.85546875" style="59" customWidth="1"/>
    <col min="3335" max="3335" width="10.5703125" style="59" customWidth="1"/>
    <col min="3336" max="3336" width="17.140625" style="59" customWidth="1"/>
    <col min="3337" max="3340" width="9.140625" style="59"/>
    <col min="3341" max="3341" width="11.5703125" style="59" customWidth="1"/>
    <col min="3342" max="3342" width="11.7109375" style="59" customWidth="1"/>
    <col min="3343" max="3343" width="9.140625" style="59"/>
    <col min="3344" max="3344" width="10.85546875" style="59" customWidth="1"/>
    <col min="3345" max="3345" width="9.140625" style="59"/>
    <col min="3346" max="3347" width="11.42578125" style="59" customWidth="1"/>
    <col min="3348" max="3353" width="9.140625" style="59"/>
    <col min="3354" max="3354" width="13.42578125" style="59" bestFit="1" customWidth="1"/>
    <col min="3355" max="3355" width="21" style="59" bestFit="1" customWidth="1"/>
    <col min="3356" max="3356" width="14.5703125" style="59" customWidth="1"/>
    <col min="3357" max="3357" width="15" style="59" bestFit="1" customWidth="1"/>
    <col min="3358" max="3358" width="9.140625" style="59"/>
    <col min="3359" max="3359" width="16" style="59" customWidth="1"/>
    <col min="3360" max="3361" width="11.42578125" style="59" customWidth="1"/>
    <col min="3362" max="3364" width="9.28515625" style="59" bestFit="1" customWidth="1"/>
    <col min="3365" max="3365" width="11.140625" style="59" bestFit="1" customWidth="1"/>
    <col min="3366" max="3561" width="9.140625" style="59"/>
    <col min="3562" max="3562" width="5.28515625" style="59" customWidth="1"/>
    <col min="3563" max="3563" width="11.140625" style="59" bestFit="1" customWidth="1"/>
    <col min="3564" max="3564" width="8" style="59" bestFit="1" customWidth="1"/>
    <col min="3565" max="3565" width="32.7109375" style="59" customWidth="1"/>
    <col min="3566" max="3566" width="13.140625" style="59" bestFit="1" customWidth="1"/>
    <col min="3567" max="3567" width="12.5703125" style="59" bestFit="1" customWidth="1"/>
    <col min="3568" max="3568" width="6.28515625" style="59" customWidth="1"/>
    <col min="3569" max="3569" width="26.7109375" style="59" bestFit="1" customWidth="1"/>
    <col min="3570" max="3570" width="12.140625" style="59" customWidth="1"/>
    <col min="3571" max="3573" width="0" style="59" hidden="1" customWidth="1"/>
    <col min="3574" max="3574" width="15.140625" style="59" customWidth="1"/>
    <col min="3575" max="3575" width="12.28515625" style="59" customWidth="1"/>
    <col min="3576" max="3576" width="14.140625" style="59" customWidth="1"/>
    <col min="3577" max="3577" width="12.7109375" style="59" customWidth="1"/>
    <col min="3578" max="3578" width="12" style="59" bestFit="1" customWidth="1"/>
    <col min="3579" max="3579" width="15.5703125" style="59" customWidth="1"/>
    <col min="3580" max="3580" width="14.7109375" style="59" customWidth="1"/>
    <col min="3581" max="3581" width="13.5703125" style="59" customWidth="1"/>
    <col min="3582" max="3582" width="12.85546875" style="59" customWidth="1"/>
    <col min="3583" max="3583" width="13.7109375" style="59" bestFit="1" customWidth="1"/>
    <col min="3584" max="3584" width="12.28515625" style="59" customWidth="1"/>
    <col min="3585" max="3585" width="12.140625" style="59" customWidth="1"/>
    <col min="3586" max="3586" width="13.85546875" style="59" bestFit="1" customWidth="1"/>
    <col min="3587" max="3587" width="14.5703125" style="59" customWidth="1"/>
    <col min="3588" max="3588" width="18" style="59" customWidth="1"/>
    <col min="3589" max="3589" width="13.28515625" style="59" customWidth="1"/>
    <col min="3590" max="3590" width="6.85546875" style="59" customWidth="1"/>
    <col min="3591" max="3591" width="10.5703125" style="59" customWidth="1"/>
    <col min="3592" max="3592" width="17.140625" style="59" customWidth="1"/>
    <col min="3593" max="3596" width="9.140625" style="59"/>
    <col min="3597" max="3597" width="11.5703125" style="59" customWidth="1"/>
    <col min="3598" max="3598" width="11.7109375" style="59" customWidth="1"/>
    <col min="3599" max="3599" width="9.140625" style="59"/>
    <col min="3600" max="3600" width="10.85546875" style="59" customWidth="1"/>
    <col min="3601" max="3601" width="9.140625" style="59"/>
    <col min="3602" max="3603" width="11.42578125" style="59" customWidth="1"/>
    <col min="3604" max="3609" width="9.140625" style="59"/>
    <col min="3610" max="3610" width="13.42578125" style="59" bestFit="1" customWidth="1"/>
    <col min="3611" max="3611" width="21" style="59" bestFit="1" customWidth="1"/>
    <col min="3612" max="3612" width="14.5703125" style="59" customWidth="1"/>
    <col min="3613" max="3613" width="15" style="59" bestFit="1" customWidth="1"/>
    <col min="3614" max="3614" width="9.140625" style="59"/>
    <col min="3615" max="3615" width="16" style="59" customWidth="1"/>
    <col min="3616" max="3617" width="11.42578125" style="59" customWidth="1"/>
    <col min="3618" max="3620" width="9.28515625" style="59" bestFit="1" customWidth="1"/>
    <col min="3621" max="3621" width="11.140625" style="59" bestFit="1" customWidth="1"/>
    <col min="3622" max="3817" width="9.140625" style="59"/>
    <col min="3818" max="3818" width="5.28515625" style="59" customWidth="1"/>
    <col min="3819" max="3819" width="11.140625" style="59" bestFit="1" customWidth="1"/>
    <col min="3820" max="3820" width="8" style="59" bestFit="1" customWidth="1"/>
    <col min="3821" max="3821" width="32.7109375" style="59" customWidth="1"/>
    <col min="3822" max="3822" width="13.140625" style="59" bestFit="1" customWidth="1"/>
    <col min="3823" max="3823" width="12.5703125" style="59" bestFit="1" customWidth="1"/>
    <col min="3824" max="3824" width="6.28515625" style="59" customWidth="1"/>
    <col min="3825" max="3825" width="26.7109375" style="59" bestFit="1" customWidth="1"/>
    <col min="3826" max="3826" width="12.140625" style="59" customWidth="1"/>
    <col min="3827" max="3829" width="0" style="59" hidden="1" customWidth="1"/>
    <col min="3830" max="3830" width="15.140625" style="59" customWidth="1"/>
    <col min="3831" max="3831" width="12.28515625" style="59" customWidth="1"/>
    <col min="3832" max="3832" width="14.140625" style="59" customWidth="1"/>
    <col min="3833" max="3833" width="12.7109375" style="59" customWidth="1"/>
    <col min="3834" max="3834" width="12" style="59" bestFit="1" customWidth="1"/>
    <col min="3835" max="3835" width="15.5703125" style="59" customWidth="1"/>
    <col min="3836" max="3836" width="14.7109375" style="59" customWidth="1"/>
    <col min="3837" max="3837" width="13.5703125" style="59" customWidth="1"/>
    <col min="3838" max="3838" width="12.85546875" style="59" customWidth="1"/>
    <col min="3839" max="3839" width="13.7109375" style="59" bestFit="1" customWidth="1"/>
    <col min="3840" max="3840" width="12.28515625" style="59" customWidth="1"/>
    <col min="3841" max="3841" width="12.140625" style="59" customWidth="1"/>
    <col min="3842" max="3842" width="13.85546875" style="59" bestFit="1" customWidth="1"/>
    <col min="3843" max="3843" width="14.5703125" style="59" customWidth="1"/>
    <col min="3844" max="3844" width="18" style="59" customWidth="1"/>
    <col min="3845" max="3845" width="13.28515625" style="59" customWidth="1"/>
    <col min="3846" max="3846" width="6.85546875" style="59" customWidth="1"/>
    <col min="3847" max="3847" width="10.5703125" style="59" customWidth="1"/>
    <col min="3848" max="3848" width="17.140625" style="59" customWidth="1"/>
    <col min="3849" max="3852" width="9.140625" style="59"/>
    <col min="3853" max="3853" width="11.5703125" style="59" customWidth="1"/>
    <col min="3854" max="3854" width="11.7109375" style="59" customWidth="1"/>
    <col min="3855" max="3855" width="9.140625" style="59"/>
    <col min="3856" max="3856" width="10.85546875" style="59" customWidth="1"/>
    <col min="3857" max="3857" width="9.140625" style="59"/>
    <col min="3858" max="3859" width="11.42578125" style="59" customWidth="1"/>
    <col min="3860" max="3865" width="9.140625" style="59"/>
    <col min="3866" max="3866" width="13.42578125" style="59" bestFit="1" customWidth="1"/>
    <col min="3867" max="3867" width="21" style="59" bestFit="1" customWidth="1"/>
    <col min="3868" max="3868" width="14.5703125" style="59" customWidth="1"/>
    <col min="3869" max="3869" width="15" style="59" bestFit="1" customWidth="1"/>
    <col min="3870" max="3870" width="9.140625" style="59"/>
    <col min="3871" max="3871" width="16" style="59" customWidth="1"/>
    <col min="3872" max="3873" width="11.42578125" style="59" customWidth="1"/>
    <col min="3874" max="3876" width="9.28515625" style="59" bestFit="1" customWidth="1"/>
    <col min="3877" max="3877" width="11.140625" style="59" bestFit="1" customWidth="1"/>
    <col min="3878" max="4073" width="9.140625" style="59"/>
    <col min="4074" max="4074" width="5.28515625" style="59" customWidth="1"/>
    <col min="4075" max="4075" width="11.140625" style="59" bestFit="1" customWidth="1"/>
    <col min="4076" max="4076" width="8" style="59" bestFit="1" customWidth="1"/>
    <col min="4077" max="4077" width="32.7109375" style="59" customWidth="1"/>
    <col min="4078" max="4078" width="13.140625" style="59" bestFit="1" customWidth="1"/>
    <col min="4079" max="4079" width="12.5703125" style="59" bestFit="1" customWidth="1"/>
    <col min="4080" max="4080" width="6.28515625" style="59" customWidth="1"/>
    <col min="4081" max="4081" width="26.7109375" style="59" bestFit="1" customWidth="1"/>
    <col min="4082" max="4082" width="12.140625" style="59" customWidth="1"/>
    <col min="4083" max="4085" width="0" style="59" hidden="1" customWidth="1"/>
    <col min="4086" max="4086" width="15.140625" style="59" customWidth="1"/>
    <col min="4087" max="4087" width="12.28515625" style="59" customWidth="1"/>
    <col min="4088" max="4088" width="14.140625" style="59" customWidth="1"/>
    <col min="4089" max="4089" width="12.7109375" style="59" customWidth="1"/>
    <col min="4090" max="4090" width="12" style="59" bestFit="1" customWidth="1"/>
    <col min="4091" max="4091" width="15.5703125" style="59" customWidth="1"/>
    <col min="4092" max="4092" width="14.7109375" style="59" customWidth="1"/>
    <col min="4093" max="4093" width="13.5703125" style="59" customWidth="1"/>
    <col min="4094" max="4094" width="12.85546875" style="59" customWidth="1"/>
    <col min="4095" max="4095" width="13.7109375" style="59" bestFit="1" customWidth="1"/>
    <col min="4096" max="4096" width="12.28515625" style="59" customWidth="1"/>
    <col min="4097" max="4097" width="12.140625" style="59" customWidth="1"/>
    <col min="4098" max="4098" width="13.85546875" style="59" bestFit="1" customWidth="1"/>
    <col min="4099" max="4099" width="14.5703125" style="59" customWidth="1"/>
    <col min="4100" max="4100" width="18" style="59" customWidth="1"/>
    <col min="4101" max="4101" width="13.28515625" style="59" customWidth="1"/>
    <col min="4102" max="4102" width="6.85546875" style="59" customWidth="1"/>
    <col min="4103" max="4103" width="10.5703125" style="59" customWidth="1"/>
    <col min="4104" max="4104" width="17.140625" style="59" customWidth="1"/>
    <col min="4105" max="4108" width="9.140625" style="59"/>
    <col min="4109" max="4109" width="11.5703125" style="59" customWidth="1"/>
    <col min="4110" max="4110" width="11.7109375" style="59" customWidth="1"/>
    <col min="4111" max="4111" width="9.140625" style="59"/>
    <col min="4112" max="4112" width="10.85546875" style="59" customWidth="1"/>
    <col min="4113" max="4113" width="9.140625" style="59"/>
    <col min="4114" max="4115" width="11.42578125" style="59" customWidth="1"/>
    <col min="4116" max="4121" width="9.140625" style="59"/>
    <col min="4122" max="4122" width="13.42578125" style="59" bestFit="1" customWidth="1"/>
    <col min="4123" max="4123" width="21" style="59" bestFit="1" customWidth="1"/>
    <col min="4124" max="4124" width="14.5703125" style="59" customWidth="1"/>
    <col min="4125" max="4125" width="15" style="59" bestFit="1" customWidth="1"/>
    <col min="4126" max="4126" width="9.140625" style="59"/>
    <col min="4127" max="4127" width="16" style="59" customWidth="1"/>
    <col min="4128" max="4129" width="11.42578125" style="59" customWidth="1"/>
    <col min="4130" max="4132" width="9.28515625" style="59" bestFit="1" customWidth="1"/>
    <col min="4133" max="4133" width="11.140625" style="59" bestFit="1" customWidth="1"/>
    <col min="4134" max="4329" width="9.140625" style="59"/>
    <col min="4330" max="4330" width="5.28515625" style="59" customWidth="1"/>
    <col min="4331" max="4331" width="11.140625" style="59" bestFit="1" customWidth="1"/>
    <col min="4332" max="4332" width="8" style="59" bestFit="1" customWidth="1"/>
    <col min="4333" max="4333" width="32.7109375" style="59" customWidth="1"/>
    <col min="4334" max="4334" width="13.140625" style="59" bestFit="1" customWidth="1"/>
    <col min="4335" max="4335" width="12.5703125" style="59" bestFit="1" customWidth="1"/>
    <col min="4336" max="4336" width="6.28515625" style="59" customWidth="1"/>
    <col min="4337" max="4337" width="26.7109375" style="59" bestFit="1" customWidth="1"/>
    <col min="4338" max="4338" width="12.140625" style="59" customWidth="1"/>
    <col min="4339" max="4341" width="0" style="59" hidden="1" customWidth="1"/>
    <col min="4342" max="4342" width="15.140625" style="59" customWidth="1"/>
    <col min="4343" max="4343" width="12.28515625" style="59" customWidth="1"/>
    <col min="4344" max="4344" width="14.140625" style="59" customWidth="1"/>
    <col min="4345" max="4345" width="12.7109375" style="59" customWidth="1"/>
    <col min="4346" max="4346" width="12" style="59" bestFit="1" customWidth="1"/>
    <col min="4347" max="4347" width="15.5703125" style="59" customWidth="1"/>
    <col min="4348" max="4348" width="14.7109375" style="59" customWidth="1"/>
    <col min="4349" max="4349" width="13.5703125" style="59" customWidth="1"/>
    <col min="4350" max="4350" width="12.85546875" style="59" customWidth="1"/>
    <col min="4351" max="4351" width="13.7109375" style="59" bestFit="1" customWidth="1"/>
    <col min="4352" max="4352" width="12.28515625" style="59" customWidth="1"/>
    <col min="4353" max="4353" width="12.140625" style="59" customWidth="1"/>
    <col min="4354" max="4354" width="13.85546875" style="59" bestFit="1" customWidth="1"/>
    <col min="4355" max="4355" width="14.5703125" style="59" customWidth="1"/>
    <col min="4356" max="4356" width="18" style="59" customWidth="1"/>
    <col min="4357" max="4357" width="13.28515625" style="59" customWidth="1"/>
    <col min="4358" max="4358" width="6.85546875" style="59" customWidth="1"/>
    <col min="4359" max="4359" width="10.5703125" style="59" customWidth="1"/>
    <col min="4360" max="4360" width="17.140625" style="59" customWidth="1"/>
    <col min="4361" max="4364" width="9.140625" style="59"/>
    <col min="4365" max="4365" width="11.5703125" style="59" customWidth="1"/>
    <col min="4366" max="4366" width="11.7109375" style="59" customWidth="1"/>
    <col min="4367" max="4367" width="9.140625" style="59"/>
    <col min="4368" max="4368" width="10.85546875" style="59" customWidth="1"/>
    <col min="4369" max="4369" width="9.140625" style="59"/>
    <col min="4370" max="4371" width="11.42578125" style="59" customWidth="1"/>
    <col min="4372" max="4377" width="9.140625" style="59"/>
    <col min="4378" max="4378" width="13.42578125" style="59" bestFit="1" customWidth="1"/>
    <col min="4379" max="4379" width="21" style="59" bestFit="1" customWidth="1"/>
    <col min="4380" max="4380" width="14.5703125" style="59" customWidth="1"/>
    <col min="4381" max="4381" width="15" style="59" bestFit="1" customWidth="1"/>
    <col min="4382" max="4382" width="9.140625" style="59"/>
    <col min="4383" max="4383" width="16" style="59" customWidth="1"/>
    <col min="4384" max="4385" width="11.42578125" style="59" customWidth="1"/>
    <col min="4386" max="4388" width="9.28515625" style="59" bestFit="1" customWidth="1"/>
    <col min="4389" max="4389" width="11.140625" style="59" bestFit="1" customWidth="1"/>
    <col min="4390" max="4585" width="9.140625" style="59"/>
    <col min="4586" max="4586" width="5.28515625" style="59" customWidth="1"/>
    <col min="4587" max="4587" width="11.140625" style="59" bestFit="1" customWidth="1"/>
    <col min="4588" max="4588" width="8" style="59" bestFit="1" customWidth="1"/>
    <col min="4589" max="4589" width="32.7109375" style="59" customWidth="1"/>
    <col min="4590" max="4590" width="13.140625" style="59" bestFit="1" customWidth="1"/>
    <col min="4591" max="4591" width="12.5703125" style="59" bestFit="1" customWidth="1"/>
    <col min="4592" max="4592" width="6.28515625" style="59" customWidth="1"/>
    <col min="4593" max="4593" width="26.7109375" style="59" bestFit="1" customWidth="1"/>
    <col min="4594" max="4594" width="12.140625" style="59" customWidth="1"/>
    <col min="4595" max="4597" width="0" style="59" hidden="1" customWidth="1"/>
    <col min="4598" max="4598" width="15.140625" style="59" customWidth="1"/>
    <col min="4599" max="4599" width="12.28515625" style="59" customWidth="1"/>
    <col min="4600" max="4600" width="14.140625" style="59" customWidth="1"/>
    <col min="4601" max="4601" width="12.7109375" style="59" customWidth="1"/>
    <col min="4602" max="4602" width="12" style="59" bestFit="1" customWidth="1"/>
    <col min="4603" max="4603" width="15.5703125" style="59" customWidth="1"/>
    <col min="4604" max="4604" width="14.7109375" style="59" customWidth="1"/>
    <col min="4605" max="4605" width="13.5703125" style="59" customWidth="1"/>
    <col min="4606" max="4606" width="12.85546875" style="59" customWidth="1"/>
    <col min="4607" max="4607" width="13.7109375" style="59" bestFit="1" customWidth="1"/>
    <col min="4608" max="4608" width="12.28515625" style="59" customWidth="1"/>
    <col min="4609" max="4609" width="12.140625" style="59" customWidth="1"/>
    <col min="4610" max="4610" width="13.85546875" style="59" bestFit="1" customWidth="1"/>
    <col min="4611" max="4611" width="14.5703125" style="59" customWidth="1"/>
    <col min="4612" max="4612" width="18" style="59" customWidth="1"/>
    <col min="4613" max="4613" width="13.28515625" style="59" customWidth="1"/>
    <col min="4614" max="4614" width="6.85546875" style="59" customWidth="1"/>
    <col min="4615" max="4615" width="10.5703125" style="59" customWidth="1"/>
    <col min="4616" max="4616" width="17.140625" style="59" customWidth="1"/>
    <col min="4617" max="4620" width="9.140625" style="59"/>
    <col min="4621" max="4621" width="11.5703125" style="59" customWidth="1"/>
    <col min="4622" max="4622" width="11.7109375" style="59" customWidth="1"/>
    <col min="4623" max="4623" width="9.140625" style="59"/>
    <col min="4624" max="4624" width="10.85546875" style="59" customWidth="1"/>
    <col min="4625" max="4625" width="9.140625" style="59"/>
    <col min="4626" max="4627" width="11.42578125" style="59" customWidth="1"/>
    <col min="4628" max="4633" width="9.140625" style="59"/>
    <col min="4634" max="4634" width="13.42578125" style="59" bestFit="1" customWidth="1"/>
    <col min="4635" max="4635" width="21" style="59" bestFit="1" customWidth="1"/>
    <col min="4636" max="4636" width="14.5703125" style="59" customWidth="1"/>
    <col min="4637" max="4637" width="15" style="59" bestFit="1" customWidth="1"/>
    <col min="4638" max="4638" width="9.140625" style="59"/>
    <col min="4639" max="4639" width="16" style="59" customWidth="1"/>
    <col min="4640" max="4641" width="11.42578125" style="59" customWidth="1"/>
    <col min="4642" max="4644" width="9.28515625" style="59" bestFit="1" customWidth="1"/>
    <col min="4645" max="4645" width="11.140625" style="59" bestFit="1" customWidth="1"/>
    <col min="4646" max="4841" width="9.140625" style="59"/>
    <col min="4842" max="4842" width="5.28515625" style="59" customWidth="1"/>
    <col min="4843" max="4843" width="11.140625" style="59" bestFit="1" customWidth="1"/>
    <col min="4844" max="4844" width="8" style="59" bestFit="1" customWidth="1"/>
    <col min="4845" max="4845" width="32.7109375" style="59" customWidth="1"/>
    <col min="4846" max="4846" width="13.140625" style="59" bestFit="1" customWidth="1"/>
    <col min="4847" max="4847" width="12.5703125" style="59" bestFit="1" customWidth="1"/>
    <col min="4848" max="4848" width="6.28515625" style="59" customWidth="1"/>
    <col min="4849" max="4849" width="26.7109375" style="59" bestFit="1" customWidth="1"/>
    <col min="4850" max="4850" width="12.140625" style="59" customWidth="1"/>
    <col min="4851" max="4853" width="0" style="59" hidden="1" customWidth="1"/>
    <col min="4854" max="4854" width="15.140625" style="59" customWidth="1"/>
    <col min="4855" max="4855" width="12.28515625" style="59" customWidth="1"/>
    <col min="4856" max="4856" width="14.140625" style="59" customWidth="1"/>
    <col min="4857" max="4857" width="12.7109375" style="59" customWidth="1"/>
    <col min="4858" max="4858" width="12" style="59" bestFit="1" customWidth="1"/>
    <col min="4859" max="4859" width="15.5703125" style="59" customWidth="1"/>
    <col min="4860" max="4860" width="14.7109375" style="59" customWidth="1"/>
    <col min="4861" max="4861" width="13.5703125" style="59" customWidth="1"/>
    <col min="4862" max="4862" width="12.85546875" style="59" customWidth="1"/>
    <col min="4863" max="4863" width="13.7109375" style="59" bestFit="1" customWidth="1"/>
    <col min="4864" max="4864" width="12.28515625" style="59" customWidth="1"/>
    <col min="4865" max="4865" width="12.140625" style="59" customWidth="1"/>
    <col min="4866" max="4866" width="13.85546875" style="59" bestFit="1" customWidth="1"/>
    <col min="4867" max="4867" width="14.5703125" style="59" customWidth="1"/>
    <col min="4868" max="4868" width="18" style="59" customWidth="1"/>
    <col min="4869" max="4869" width="13.28515625" style="59" customWidth="1"/>
    <col min="4870" max="4870" width="6.85546875" style="59" customWidth="1"/>
    <col min="4871" max="4871" width="10.5703125" style="59" customWidth="1"/>
    <col min="4872" max="4872" width="17.140625" style="59" customWidth="1"/>
    <col min="4873" max="4876" width="9.140625" style="59"/>
    <col min="4877" max="4877" width="11.5703125" style="59" customWidth="1"/>
    <col min="4878" max="4878" width="11.7109375" style="59" customWidth="1"/>
    <col min="4879" max="4879" width="9.140625" style="59"/>
    <col min="4880" max="4880" width="10.85546875" style="59" customWidth="1"/>
    <col min="4881" max="4881" width="9.140625" style="59"/>
    <col min="4882" max="4883" width="11.42578125" style="59" customWidth="1"/>
    <col min="4884" max="4889" width="9.140625" style="59"/>
    <col min="4890" max="4890" width="13.42578125" style="59" bestFit="1" customWidth="1"/>
    <col min="4891" max="4891" width="21" style="59" bestFit="1" customWidth="1"/>
    <col min="4892" max="4892" width="14.5703125" style="59" customWidth="1"/>
    <col min="4893" max="4893" width="15" style="59" bestFit="1" customWidth="1"/>
    <col min="4894" max="4894" width="9.140625" style="59"/>
    <col min="4895" max="4895" width="16" style="59" customWidth="1"/>
    <col min="4896" max="4897" width="11.42578125" style="59" customWidth="1"/>
    <col min="4898" max="4900" width="9.28515625" style="59" bestFit="1" customWidth="1"/>
    <col min="4901" max="4901" width="11.140625" style="59" bestFit="1" customWidth="1"/>
    <col min="4902" max="5097" width="9.140625" style="59"/>
    <col min="5098" max="5098" width="5.28515625" style="59" customWidth="1"/>
    <col min="5099" max="5099" width="11.140625" style="59" bestFit="1" customWidth="1"/>
    <col min="5100" max="5100" width="8" style="59" bestFit="1" customWidth="1"/>
    <col min="5101" max="5101" width="32.7109375" style="59" customWidth="1"/>
    <col min="5102" max="5102" width="13.140625" style="59" bestFit="1" customWidth="1"/>
    <col min="5103" max="5103" width="12.5703125" style="59" bestFit="1" customWidth="1"/>
    <col min="5104" max="5104" width="6.28515625" style="59" customWidth="1"/>
    <col min="5105" max="5105" width="26.7109375" style="59" bestFit="1" customWidth="1"/>
    <col min="5106" max="5106" width="12.140625" style="59" customWidth="1"/>
    <col min="5107" max="5109" width="0" style="59" hidden="1" customWidth="1"/>
    <col min="5110" max="5110" width="15.140625" style="59" customWidth="1"/>
    <col min="5111" max="5111" width="12.28515625" style="59" customWidth="1"/>
    <col min="5112" max="5112" width="14.140625" style="59" customWidth="1"/>
    <col min="5113" max="5113" width="12.7109375" style="59" customWidth="1"/>
    <col min="5114" max="5114" width="12" style="59" bestFit="1" customWidth="1"/>
    <col min="5115" max="5115" width="15.5703125" style="59" customWidth="1"/>
    <col min="5116" max="5116" width="14.7109375" style="59" customWidth="1"/>
    <col min="5117" max="5117" width="13.5703125" style="59" customWidth="1"/>
    <col min="5118" max="5118" width="12.85546875" style="59" customWidth="1"/>
    <col min="5119" max="5119" width="13.7109375" style="59" bestFit="1" customWidth="1"/>
    <col min="5120" max="5120" width="12.28515625" style="59" customWidth="1"/>
    <col min="5121" max="5121" width="12.140625" style="59" customWidth="1"/>
    <col min="5122" max="5122" width="13.85546875" style="59" bestFit="1" customWidth="1"/>
    <col min="5123" max="5123" width="14.5703125" style="59" customWidth="1"/>
    <col min="5124" max="5124" width="18" style="59" customWidth="1"/>
    <col min="5125" max="5125" width="13.28515625" style="59" customWidth="1"/>
    <col min="5126" max="5126" width="6.85546875" style="59" customWidth="1"/>
    <col min="5127" max="5127" width="10.5703125" style="59" customWidth="1"/>
    <col min="5128" max="5128" width="17.140625" style="59" customWidth="1"/>
    <col min="5129" max="5132" width="9.140625" style="59"/>
    <col min="5133" max="5133" width="11.5703125" style="59" customWidth="1"/>
    <col min="5134" max="5134" width="11.7109375" style="59" customWidth="1"/>
    <col min="5135" max="5135" width="9.140625" style="59"/>
    <col min="5136" max="5136" width="10.85546875" style="59" customWidth="1"/>
    <col min="5137" max="5137" width="9.140625" style="59"/>
    <col min="5138" max="5139" width="11.42578125" style="59" customWidth="1"/>
    <col min="5140" max="5145" width="9.140625" style="59"/>
    <col min="5146" max="5146" width="13.42578125" style="59" bestFit="1" customWidth="1"/>
    <col min="5147" max="5147" width="21" style="59" bestFit="1" customWidth="1"/>
    <col min="5148" max="5148" width="14.5703125" style="59" customWidth="1"/>
    <col min="5149" max="5149" width="15" style="59" bestFit="1" customWidth="1"/>
    <col min="5150" max="5150" width="9.140625" style="59"/>
    <col min="5151" max="5151" width="16" style="59" customWidth="1"/>
    <col min="5152" max="5153" width="11.42578125" style="59" customWidth="1"/>
    <col min="5154" max="5156" width="9.28515625" style="59" bestFit="1" customWidth="1"/>
    <col min="5157" max="5157" width="11.140625" style="59" bestFit="1" customWidth="1"/>
    <col min="5158" max="5353" width="9.140625" style="59"/>
    <col min="5354" max="5354" width="5.28515625" style="59" customWidth="1"/>
    <col min="5355" max="5355" width="11.140625" style="59" bestFit="1" customWidth="1"/>
    <col min="5356" max="5356" width="8" style="59" bestFit="1" customWidth="1"/>
    <col min="5357" max="5357" width="32.7109375" style="59" customWidth="1"/>
    <col min="5358" max="5358" width="13.140625" style="59" bestFit="1" customWidth="1"/>
    <col min="5359" max="5359" width="12.5703125" style="59" bestFit="1" customWidth="1"/>
    <col min="5360" max="5360" width="6.28515625" style="59" customWidth="1"/>
    <col min="5361" max="5361" width="26.7109375" style="59" bestFit="1" customWidth="1"/>
    <col min="5362" max="5362" width="12.140625" style="59" customWidth="1"/>
    <col min="5363" max="5365" width="0" style="59" hidden="1" customWidth="1"/>
    <col min="5366" max="5366" width="15.140625" style="59" customWidth="1"/>
    <col min="5367" max="5367" width="12.28515625" style="59" customWidth="1"/>
    <col min="5368" max="5368" width="14.140625" style="59" customWidth="1"/>
    <col min="5369" max="5369" width="12.7109375" style="59" customWidth="1"/>
    <col min="5370" max="5370" width="12" style="59" bestFit="1" customWidth="1"/>
    <col min="5371" max="5371" width="15.5703125" style="59" customWidth="1"/>
    <col min="5372" max="5372" width="14.7109375" style="59" customWidth="1"/>
    <col min="5373" max="5373" width="13.5703125" style="59" customWidth="1"/>
    <col min="5374" max="5374" width="12.85546875" style="59" customWidth="1"/>
    <col min="5375" max="5375" width="13.7109375" style="59" bestFit="1" customWidth="1"/>
    <col min="5376" max="5376" width="12.28515625" style="59" customWidth="1"/>
    <col min="5377" max="5377" width="12.140625" style="59" customWidth="1"/>
    <col min="5378" max="5378" width="13.85546875" style="59" bestFit="1" customWidth="1"/>
    <col min="5379" max="5379" width="14.5703125" style="59" customWidth="1"/>
    <col min="5380" max="5380" width="18" style="59" customWidth="1"/>
    <col min="5381" max="5381" width="13.28515625" style="59" customWidth="1"/>
    <col min="5382" max="5382" width="6.85546875" style="59" customWidth="1"/>
    <col min="5383" max="5383" width="10.5703125" style="59" customWidth="1"/>
    <col min="5384" max="5384" width="17.140625" style="59" customWidth="1"/>
    <col min="5385" max="5388" width="9.140625" style="59"/>
    <col min="5389" max="5389" width="11.5703125" style="59" customWidth="1"/>
    <col min="5390" max="5390" width="11.7109375" style="59" customWidth="1"/>
    <col min="5391" max="5391" width="9.140625" style="59"/>
    <col min="5392" max="5392" width="10.85546875" style="59" customWidth="1"/>
    <col min="5393" max="5393" width="9.140625" style="59"/>
    <col min="5394" max="5395" width="11.42578125" style="59" customWidth="1"/>
    <col min="5396" max="5401" width="9.140625" style="59"/>
    <col min="5402" max="5402" width="13.42578125" style="59" bestFit="1" customWidth="1"/>
    <col min="5403" max="5403" width="21" style="59" bestFit="1" customWidth="1"/>
    <col min="5404" max="5404" width="14.5703125" style="59" customWidth="1"/>
    <col min="5405" max="5405" width="15" style="59" bestFit="1" customWidth="1"/>
    <col min="5406" max="5406" width="9.140625" style="59"/>
    <col min="5407" max="5407" width="16" style="59" customWidth="1"/>
    <col min="5408" max="5409" width="11.42578125" style="59" customWidth="1"/>
    <col min="5410" max="5412" width="9.28515625" style="59" bestFit="1" customWidth="1"/>
    <col min="5413" max="5413" width="11.140625" style="59" bestFit="1" customWidth="1"/>
    <col min="5414" max="5609" width="9.140625" style="59"/>
    <col min="5610" max="5610" width="5.28515625" style="59" customWidth="1"/>
    <col min="5611" max="5611" width="11.140625" style="59" bestFit="1" customWidth="1"/>
    <col min="5612" max="5612" width="8" style="59" bestFit="1" customWidth="1"/>
    <col min="5613" max="5613" width="32.7109375" style="59" customWidth="1"/>
    <col min="5614" max="5614" width="13.140625" style="59" bestFit="1" customWidth="1"/>
    <col min="5615" max="5615" width="12.5703125" style="59" bestFit="1" customWidth="1"/>
    <col min="5616" max="5616" width="6.28515625" style="59" customWidth="1"/>
    <col min="5617" max="5617" width="26.7109375" style="59" bestFit="1" customWidth="1"/>
    <col min="5618" max="5618" width="12.140625" style="59" customWidth="1"/>
    <col min="5619" max="5621" width="0" style="59" hidden="1" customWidth="1"/>
    <col min="5622" max="5622" width="15.140625" style="59" customWidth="1"/>
    <col min="5623" max="5623" width="12.28515625" style="59" customWidth="1"/>
    <col min="5624" max="5624" width="14.140625" style="59" customWidth="1"/>
    <col min="5625" max="5625" width="12.7109375" style="59" customWidth="1"/>
    <col min="5626" max="5626" width="12" style="59" bestFit="1" customWidth="1"/>
    <col min="5627" max="5627" width="15.5703125" style="59" customWidth="1"/>
    <col min="5628" max="5628" width="14.7109375" style="59" customWidth="1"/>
    <col min="5629" max="5629" width="13.5703125" style="59" customWidth="1"/>
    <col min="5630" max="5630" width="12.85546875" style="59" customWidth="1"/>
    <col min="5631" max="5631" width="13.7109375" style="59" bestFit="1" customWidth="1"/>
    <col min="5632" max="5632" width="12.28515625" style="59" customWidth="1"/>
    <col min="5633" max="5633" width="12.140625" style="59" customWidth="1"/>
    <col min="5634" max="5634" width="13.85546875" style="59" bestFit="1" customWidth="1"/>
    <col min="5635" max="5635" width="14.5703125" style="59" customWidth="1"/>
    <col min="5636" max="5636" width="18" style="59" customWidth="1"/>
    <col min="5637" max="5637" width="13.28515625" style="59" customWidth="1"/>
    <col min="5638" max="5638" width="6.85546875" style="59" customWidth="1"/>
    <col min="5639" max="5639" width="10.5703125" style="59" customWidth="1"/>
    <col min="5640" max="5640" width="17.140625" style="59" customWidth="1"/>
    <col min="5641" max="5644" width="9.140625" style="59"/>
    <col min="5645" max="5645" width="11.5703125" style="59" customWidth="1"/>
    <col min="5646" max="5646" width="11.7109375" style="59" customWidth="1"/>
    <col min="5647" max="5647" width="9.140625" style="59"/>
    <col min="5648" max="5648" width="10.85546875" style="59" customWidth="1"/>
    <col min="5649" max="5649" width="9.140625" style="59"/>
    <col min="5650" max="5651" width="11.42578125" style="59" customWidth="1"/>
    <col min="5652" max="5657" width="9.140625" style="59"/>
    <col min="5658" max="5658" width="13.42578125" style="59" bestFit="1" customWidth="1"/>
    <col min="5659" max="5659" width="21" style="59" bestFit="1" customWidth="1"/>
    <col min="5660" max="5660" width="14.5703125" style="59" customWidth="1"/>
    <col min="5661" max="5661" width="15" style="59" bestFit="1" customWidth="1"/>
    <col min="5662" max="5662" width="9.140625" style="59"/>
    <col min="5663" max="5663" width="16" style="59" customWidth="1"/>
    <col min="5664" max="5665" width="11.42578125" style="59" customWidth="1"/>
    <col min="5666" max="5668" width="9.28515625" style="59" bestFit="1" customWidth="1"/>
    <col min="5669" max="5669" width="11.140625" style="59" bestFit="1" customWidth="1"/>
    <col min="5670" max="5865" width="9.140625" style="59"/>
    <col min="5866" max="5866" width="5.28515625" style="59" customWidth="1"/>
    <col min="5867" max="5867" width="11.140625" style="59" bestFit="1" customWidth="1"/>
    <col min="5868" max="5868" width="8" style="59" bestFit="1" customWidth="1"/>
    <col min="5869" max="5869" width="32.7109375" style="59" customWidth="1"/>
    <col min="5870" max="5870" width="13.140625" style="59" bestFit="1" customWidth="1"/>
    <col min="5871" max="5871" width="12.5703125" style="59" bestFit="1" customWidth="1"/>
    <col min="5872" max="5872" width="6.28515625" style="59" customWidth="1"/>
    <col min="5873" max="5873" width="26.7109375" style="59" bestFit="1" customWidth="1"/>
    <col min="5874" max="5874" width="12.140625" style="59" customWidth="1"/>
    <col min="5875" max="5877" width="0" style="59" hidden="1" customWidth="1"/>
    <col min="5878" max="5878" width="15.140625" style="59" customWidth="1"/>
    <col min="5879" max="5879" width="12.28515625" style="59" customWidth="1"/>
    <col min="5880" max="5880" width="14.140625" style="59" customWidth="1"/>
    <col min="5881" max="5881" width="12.7109375" style="59" customWidth="1"/>
    <col min="5882" max="5882" width="12" style="59" bestFit="1" customWidth="1"/>
    <col min="5883" max="5883" width="15.5703125" style="59" customWidth="1"/>
    <col min="5884" max="5884" width="14.7109375" style="59" customWidth="1"/>
    <col min="5885" max="5885" width="13.5703125" style="59" customWidth="1"/>
    <col min="5886" max="5886" width="12.85546875" style="59" customWidth="1"/>
    <col min="5887" max="5887" width="13.7109375" style="59" bestFit="1" customWidth="1"/>
    <col min="5888" max="5888" width="12.28515625" style="59" customWidth="1"/>
    <col min="5889" max="5889" width="12.140625" style="59" customWidth="1"/>
    <col min="5890" max="5890" width="13.85546875" style="59" bestFit="1" customWidth="1"/>
    <col min="5891" max="5891" width="14.5703125" style="59" customWidth="1"/>
    <col min="5892" max="5892" width="18" style="59" customWidth="1"/>
    <col min="5893" max="5893" width="13.28515625" style="59" customWidth="1"/>
    <col min="5894" max="5894" width="6.85546875" style="59" customWidth="1"/>
    <col min="5895" max="5895" width="10.5703125" style="59" customWidth="1"/>
    <col min="5896" max="5896" width="17.140625" style="59" customWidth="1"/>
    <col min="5897" max="5900" width="9.140625" style="59"/>
    <col min="5901" max="5901" width="11.5703125" style="59" customWidth="1"/>
    <col min="5902" max="5902" width="11.7109375" style="59" customWidth="1"/>
    <col min="5903" max="5903" width="9.140625" style="59"/>
    <col min="5904" max="5904" width="10.85546875" style="59" customWidth="1"/>
    <col min="5905" max="5905" width="9.140625" style="59"/>
    <col min="5906" max="5907" width="11.42578125" style="59" customWidth="1"/>
    <col min="5908" max="5913" width="9.140625" style="59"/>
    <col min="5914" max="5914" width="13.42578125" style="59" bestFit="1" customWidth="1"/>
    <col min="5915" max="5915" width="21" style="59" bestFit="1" customWidth="1"/>
    <col min="5916" max="5916" width="14.5703125" style="59" customWidth="1"/>
    <col min="5917" max="5917" width="15" style="59" bestFit="1" customWidth="1"/>
    <col min="5918" max="5918" width="9.140625" style="59"/>
    <col min="5919" max="5919" width="16" style="59" customWidth="1"/>
    <col min="5920" max="5921" width="11.42578125" style="59" customWidth="1"/>
    <col min="5922" max="5924" width="9.28515625" style="59" bestFit="1" customWidth="1"/>
    <col min="5925" max="5925" width="11.140625" style="59" bestFit="1" customWidth="1"/>
    <col min="5926" max="6121" width="9.140625" style="59"/>
    <col min="6122" max="6122" width="5.28515625" style="59" customWidth="1"/>
    <col min="6123" max="6123" width="11.140625" style="59" bestFit="1" customWidth="1"/>
    <col min="6124" max="6124" width="8" style="59" bestFit="1" customWidth="1"/>
    <col min="6125" max="6125" width="32.7109375" style="59" customWidth="1"/>
    <col min="6126" max="6126" width="13.140625" style="59" bestFit="1" customWidth="1"/>
    <col min="6127" max="6127" width="12.5703125" style="59" bestFit="1" customWidth="1"/>
    <col min="6128" max="6128" width="6.28515625" style="59" customWidth="1"/>
    <col min="6129" max="6129" width="26.7109375" style="59" bestFit="1" customWidth="1"/>
    <col min="6130" max="6130" width="12.140625" style="59" customWidth="1"/>
    <col min="6131" max="6133" width="0" style="59" hidden="1" customWidth="1"/>
    <col min="6134" max="6134" width="15.140625" style="59" customWidth="1"/>
    <col min="6135" max="6135" width="12.28515625" style="59" customWidth="1"/>
    <col min="6136" max="6136" width="14.140625" style="59" customWidth="1"/>
    <col min="6137" max="6137" width="12.7109375" style="59" customWidth="1"/>
    <col min="6138" max="6138" width="12" style="59" bestFit="1" customWidth="1"/>
    <col min="6139" max="6139" width="15.5703125" style="59" customWidth="1"/>
    <col min="6140" max="6140" width="14.7109375" style="59" customWidth="1"/>
    <col min="6141" max="6141" width="13.5703125" style="59" customWidth="1"/>
    <col min="6142" max="6142" width="12.85546875" style="59" customWidth="1"/>
    <col min="6143" max="6143" width="13.7109375" style="59" bestFit="1" customWidth="1"/>
    <col min="6144" max="6144" width="12.28515625" style="59" customWidth="1"/>
    <col min="6145" max="6145" width="12.140625" style="59" customWidth="1"/>
    <col min="6146" max="6146" width="13.85546875" style="59" bestFit="1" customWidth="1"/>
    <col min="6147" max="6147" width="14.5703125" style="59" customWidth="1"/>
    <col min="6148" max="6148" width="18" style="59" customWidth="1"/>
    <col min="6149" max="6149" width="13.28515625" style="59" customWidth="1"/>
    <col min="6150" max="6150" width="6.85546875" style="59" customWidth="1"/>
    <col min="6151" max="6151" width="10.5703125" style="59" customWidth="1"/>
    <col min="6152" max="6152" width="17.140625" style="59" customWidth="1"/>
    <col min="6153" max="6156" width="9.140625" style="59"/>
    <col min="6157" max="6157" width="11.5703125" style="59" customWidth="1"/>
    <col min="6158" max="6158" width="11.7109375" style="59" customWidth="1"/>
    <col min="6159" max="6159" width="9.140625" style="59"/>
    <col min="6160" max="6160" width="10.85546875" style="59" customWidth="1"/>
    <col min="6161" max="6161" width="9.140625" style="59"/>
    <col min="6162" max="6163" width="11.42578125" style="59" customWidth="1"/>
    <col min="6164" max="6169" width="9.140625" style="59"/>
    <col min="6170" max="6170" width="13.42578125" style="59" bestFit="1" customWidth="1"/>
    <col min="6171" max="6171" width="21" style="59" bestFit="1" customWidth="1"/>
    <col min="6172" max="6172" width="14.5703125" style="59" customWidth="1"/>
    <col min="6173" max="6173" width="15" style="59" bestFit="1" customWidth="1"/>
    <col min="6174" max="6174" width="9.140625" style="59"/>
    <col min="6175" max="6175" width="16" style="59" customWidth="1"/>
    <col min="6176" max="6177" width="11.42578125" style="59" customWidth="1"/>
    <col min="6178" max="6180" width="9.28515625" style="59" bestFit="1" customWidth="1"/>
    <col min="6181" max="6181" width="11.140625" style="59" bestFit="1" customWidth="1"/>
    <col min="6182" max="6377" width="9.140625" style="59"/>
    <col min="6378" max="6378" width="5.28515625" style="59" customWidth="1"/>
    <col min="6379" max="6379" width="11.140625" style="59" bestFit="1" customWidth="1"/>
    <col min="6380" max="6380" width="8" style="59" bestFit="1" customWidth="1"/>
    <col min="6381" max="6381" width="32.7109375" style="59" customWidth="1"/>
    <col min="6382" max="6382" width="13.140625" style="59" bestFit="1" customWidth="1"/>
    <col min="6383" max="6383" width="12.5703125" style="59" bestFit="1" customWidth="1"/>
    <col min="6384" max="6384" width="6.28515625" style="59" customWidth="1"/>
    <col min="6385" max="6385" width="26.7109375" style="59" bestFit="1" customWidth="1"/>
    <col min="6386" max="6386" width="12.140625" style="59" customWidth="1"/>
    <col min="6387" max="6389" width="0" style="59" hidden="1" customWidth="1"/>
    <col min="6390" max="6390" width="15.140625" style="59" customWidth="1"/>
    <col min="6391" max="6391" width="12.28515625" style="59" customWidth="1"/>
    <col min="6392" max="6392" width="14.140625" style="59" customWidth="1"/>
    <col min="6393" max="6393" width="12.7109375" style="59" customWidth="1"/>
    <col min="6394" max="6394" width="12" style="59" bestFit="1" customWidth="1"/>
    <col min="6395" max="6395" width="15.5703125" style="59" customWidth="1"/>
    <col min="6396" max="6396" width="14.7109375" style="59" customWidth="1"/>
    <col min="6397" max="6397" width="13.5703125" style="59" customWidth="1"/>
    <col min="6398" max="6398" width="12.85546875" style="59" customWidth="1"/>
    <col min="6399" max="6399" width="13.7109375" style="59" bestFit="1" customWidth="1"/>
    <col min="6400" max="6400" width="12.28515625" style="59" customWidth="1"/>
    <col min="6401" max="6401" width="12.140625" style="59" customWidth="1"/>
    <col min="6402" max="6402" width="13.85546875" style="59" bestFit="1" customWidth="1"/>
    <col min="6403" max="6403" width="14.5703125" style="59" customWidth="1"/>
    <col min="6404" max="6404" width="18" style="59" customWidth="1"/>
    <col min="6405" max="6405" width="13.28515625" style="59" customWidth="1"/>
    <col min="6406" max="6406" width="6.85546875" style="59" customWidth="1"/>
    <col min="6407" max="6407" width="10.5703125" style="59" customWidth="1"/>
    <col min="6408" max="6408" width="17.140625" style="59" customWidth="1"/>
    <col min="6409" max="6412" width="9.140625" style="59"/>
    <col min="6413" max="6413" width="11.5703125" style="59" customWidth="1"/>
    <col min="6414" max="6414" width="11.7109375" style="59" customWidth="1"/>
    <col min="6415" max="6415" width="9.140625" style="59"/>
    <col min="6416" max="6416" width="10.85546875" style="59" customWidth="1"/>
    <col min="6417" max="6417" width="9.140625" style="59"/>
    <col min="6418" max="6419" width="11.42578125" style="59" customWidth="1"/>
    <col min="6420" max="6425" width="9.140625" style="59"/>
    <col min="6426" max="6426" width="13.42578125" style="59" bestFit="1" customWidth="1"/>
    <col min="6427" max="6427" width="21" style="59" bestFit="1" customWidth="1"/>
    <col min="6428" max="6428" width="14.5703125" style="59" customWidth="1"/>
    <col min="6429" max="6429" width="15" style="59" bestFit="1" customWidth="1"/>
    <col min="6430" max="6430" width="9.140625" style="59"/>
    <col min="6431" max="6431" width="16" style="59" customWidth="1"/>
    <col min="6432" max="6433" width="11.42578125" style="59" customWidth="1"/>
    <col min="6434" max="6436" width="9.28515625" style="59" bestFit="1" customWidth="1"/>
    <col min="6437" max="6437" width="11.140625" style="59" bestFit="1" customWidth="1"/>
    <col min="6438" max="6633" width="9.140625" style="59"/>
    <col min="6634" max="6634" width="5.28515625" style="59" customWidth="1"/>
    <col min="6635" max="6635" width="11.140625" style="59" bestFit="1" customWidth="1"/>
    <col min="6636" max="6636" width="8" style="59" bestFit="1" customWidth="1"/>
    <col min="6637" max="6637" width="32.7109375" style="59" customWidth="1"/>
    <col min="6638" max="6638" width="13.140625" style="59" bestFit="1" customWidth="1"/>
    <col min="6639" max="6639" width="12.5703125" style="59" bestFit="1" customWidth="1"/>
    <col min="6640" max="6640" width="6.28515625" style="59" customWidth="1"/>
    <col min="6641" max="6641" width="26.7109375" style="59" bestFit="1" customWidth="1"/>
    <col min="6642" max="6642" width="12.140625" style="59" customWidth="1"/>
    <col min="6643" max="6645" width="0" style="59" hidden="1" customWidth="1"/>
    <col min="6646" max="6646" width="15.140625" style="59" customWidth="1"/>
    <col min="6647" max="6647" width="12.28515625" style="59" customWidth="1"/>
    <col min="6648" max="6648" width="14.140625" style="59" customWidth="1"/>
    <col min="6649" max="6649" width="12.7109375" style="59" customWidth="1"/>
    <col min="6650" max="6650" width="12" style="59" bestFit="1" customWidth="1"/>
    <col min="6651" max="6651" width="15.5703125" style="59" customWidth="1"/>
    <col min="6652" max="6652" width="14.7109375" style="59" customWidth="1"/>
    <col min="6653" max="6653" width="13.5703125" style="59" customWidth="1"/>
    <col min="6654" max="6654" width="12.85546875" style="59" customWidth="1"/>
    <col min="6655" max="6655" width="13.7109375" style="59" bestFit="1" customWidth="1"/>
    <col min="6656" max="6656" width="12.28515625" style="59" customWidth="1"/>
    <col min="6657" max="6657" width="12.140625" style="59" customWidth="1"/>
    <col min="6658" max="6658" width="13.85546875" style="59" bestFit="1" customWidth="1"/>
    <col min="6659" max="6659" width="14.5703125" style="59" customWidth="1"/>
    <col min="6660" max="6660" width="18" style="59" customWidth="1"/>
    <col min="6661" max="6661" width="13.28515625" style="59" customWidth="1"/>
    <col min="6662" max="6662" width="6.85546875" style="59" customWidth="1"/>
    <col min="6663" max="6663" width="10.5703125" style="59" customWidth="1"/>
    <col min="6664" max="6664" width="17.140625" style="59" customWidth="1"/>
    <col min="6665" max="6668" width="9.140625" style="59"/>
    <col min="6669" max="6669" width="11.5703125" style="59" customWidth="1"/>
    <col min="6670" max="6670" width="11.7109375" style="59" customWidth="1"/>
    <col min="6671" max="6671" width="9.140625" style="59"/>
    <col min="6672" max="6672" width="10.85546875" style="59" customWidth="1"/>
    <col min="6673" max="6673" width="9.140625" style="59"/>
    <col min="6674" max="6675" width="11.42578125" style="59" customWidth="1"/>
    <col min="6676" max="6681" width="9.140625" style="59"/>
    <col min="6682" max="6682" width="13.42578125" style="59" bestFit="1" customWidth="1"/>
    <col min="6683" max="6683" width="21" style="59" bestFit="1" customWidth="1"/>
    <col min="6684" max="6684" width="14.5703125" style="59" customWidth="1"/>
    <col min="6685" max="6685" width="15" style="59" bestFit="1" customWidth="1"/>
    <col min="6686" max="6686" width="9.140625" style="59"/>
    <col min="6687" max="6687" width="16" style="59" customWidth="1"/>
    <col min="6688" max="6689" width="11.42578125" style="59" customWidth="1"/>
    <col min="6690" max="6692" width="9.28515625" style="59" bestFit="1" customWidth="1"/>
    <col min="6693" max="6693" width="11.140625" style="59" bestFit="1" customWidth="1"/>
    <col min="6694" max="6889" width="9.140625" style="59"/>
    <col min="6890" max="6890" width="5.28515625" style="59" customWidth="1"/>
    <col min="6891" max="6891" width="11.140625" style="59" bestFit="1" customWidth="1"/>
    <col min="6892" max="6892" width="8" style="59" bestFit="1" customWidth="1"/>
    <col min="6893" max="6893" width="32.7109375" style="59" customWidth="1"/>
    <col min="6894" max="6894" width="13.140625" style="59" bestFit="1" customWidth="1"/>
    <col min="6895" max="6895" width="12.5703125" style="59" bestFit="1" customWidth="1"/>
    <col min="6896" max="6896" width="6.28515625" style="59" customWidth="1"/>
    <col min="6897" max="6897" width="26.7109375" style="59" bestFit="1" customWidth="1"/>
    <col min="6898" max="6898" width="12.140625" style="59" customWidth="1"/>
    <col min="6899" max="6901" width="0" style="59" hidden="1" customWidth="1"/>
    <col min="6902" max="6902" width="15.140625" style="59" customWidth="1"/>
    <col min="6903" max="6903" width="12.28515625" style="59" customWidth="1"/>
    <col min="6904" max="6904" width="14.140625" style="59" customWidth="1"/>
    <col min="6905" max="6905" width="12.7109375" style="59" customWidth="1"/>
    <col min="6906" max="6906" width="12" style="59" bestFit="1" customWidth="1"/>
    <col min="6907" max="6907" width="15.5703125" style="59" customWidth="1"/>
    <col min="6908" max="6908" width="14.7109375" style="59" customWidth="1"/>
    <col min="6909" max="6909" width="13.5703125" style="59" customWidth="1"/>
    <col min="6910" max="6910" width="12.85546875" style="59" customWidth="1"/>
    <col min="6911" max="6911" width="13.7109375" style="59" bestFit="1" customWidth="1"/>
    <col min="6912" max="6912" width="12.28515625" style="59" customWidth="1"/>
    <col min="6913" max="6913" width="12.140625" style="59" customWidth="1"/>
    <col min="6914" max="6914" width="13.85546875" style="59" bestFit="1" customWidth="1"/>
    <col min="6915" max="6915" width="14.5703125" style="59" customWidth="1"/>
    <col min="6916" max="6916" width="18" style="59" customWidth="1"/>
    <col min="6917" max="6917" width="13.28515625" style="59" customWidth="1"/>
    <col min="6918" max="6918" width="6.85546875" style="59" customWidth="1"/>
    <col min="6919" max="6919" width="10.5703125" style="59" customWidth="1"/>
    <col min="6920" max="6920" width="17.140625" style="59" customWidth="1"/>
    <col min="6921" max="6924" width="9.140625" style="59"/>
    <col min="6925" max="6925" width="11.5703125" style="59" customWidth="1"/>
    <col min="6926" max="6926" width="11.7109375" style="59" customWidth="1"/>
    <col min="6927" max="6927" width="9.140625" style="59"/>
    <col min="6928" max="6928" width="10.85546875" style="59" customWidth="1"/>
    <col min="6929" max="6929" width="9.140625" style="59"/>
    <col min="6930" max="6931" width="11.42578125" style="59" customWidth="1"/>
    <col min="6932" max="6937" width="9.140625" style="59"/>
    <col min="6938" max="6938" width="13.42578125" style="59" bestFit="1" customWidth="1"/>
    <col min="6939" max="6939" width="21" style="59" bestFit="1" customWidth="1"/>
    <col min="6940" max="6940" width="14.5703125" style="59" customWidth="1"/>
    <col min="6941" max="6941" width="15" style="59" bestFit="1" customWidth="1"/>
    <col min="6942" max="6942" width="9.140625" style="59"/>
    <col min="6943" max="6943" width="16" style="59" customWidth="1"/>
    <col min="6944" max="6945" width="11.42578125" style="59" customWidth="1"/>
    <col min="6946" max="6948" width="9.28515625" style="59" bestFit="1" customWidth="1"/>
    <col min="6949" max="6949" width="11.140625" style="59" bestFit="1" customWidth="1"/>
    <col min="6950" max="7145" width="9.140625" style="59"/>
    <col min="7146" max="7146" width="5.28515625" style="59" customWidth="1"/>
    <col min="7147" max="7147" width="11.140625" style="59" bestFit="1" customWidth="1"/>
    <col min="7148" max="7148" width="8" style="59" bestFit="1" customWidth="1"/>
    <col min="7149" max="7149" width="32.7109375" style="59" customWidth="1"/>
    <col min="7150" max="7150" width="13.140625" style="59" bestFit="1" customWidth="1"/>
    <col min="7151" max="7151" width="12.5703125" style="59" bestFit="1" customWidth="1"/>
    <col min="7152" max="7152" width="6.28515625" style="59" customWidth="1"/>
    <col min="7153" max="7153" width="26.7109375" style="59" bestFit="1" customWidth="1"/>
    <col min="7154" max="7154" width="12.140625" style="59" customWidth="1"/>
    <col min="7155" max="7157" width="0" style="59" hidden="1" customWidth="1"/>
    <col min="7158" max="7158" width="15.140625" style="59" customWidth="1"/>
    <col min="7159" max="7159" width="12.28515625" style="59" customWidth="1"/>
    <col min="7160" max="7160" width="14.140625" style="59" customWidth="1"/>
    <col min="7161" max="7161" width="12.7109375" style="59" customWidth="1"/>
    <col min="7162" max="7162" width="12" style="59" bestFit="1" customWidth="1"/>
    <col min="7163" max="7163" width="15.5703125" style="59" customWidth="1"/>
    <col min="7164" max="7164" width="14.7109375" style="59" customWidth="1"/>
    <col min="7165" max="7165" width="13.5703125" style="59" customWidth="1"/>
    <col min="7166" max="7166" width="12.85546875" style="59" customWidth="1"/>
    <col min="7167" max="7167" width="13.7109375" style="59" bestFit="1" customWidth="1"/>
    <col min="7168" max="7168" width="12.28515625" style="59" customWidth="1"/>
    <col min="7169" max="7169" width="12.140625" style="59" customWidth="1"/>
    <col min="7170" max="7170" width="13.85546875" style="59" bestFit="1" customWidth="1"/>
    <col min="7171" max="7171" width="14.5703125" style="59" customWidth="1"/>
    <col min="7172" max="7172" width="18" style="59" customWidth="1"/>
    <col min="7173" max="7173" width="13.28515625" style="59" customWidth="1"/>
    <col min="7174" max="7174" width="6.85546875" style="59" customWidth="1"/>
    <col min="7175" max="7175" width="10.5703125" style="59" customWidth="1"/>
    <col min="7176" max="7176" width="17.140625" style="59" customWidth="1"/>
    <col min="7177" max="7180" width="9.140625" style="59"/>
    <col min="7181" max="7181" width="11.5703125" style="59" customWidth="1"/>
    <col min="7182" max="7182" width="11.7109375" style="59" customWidth="1"/>
    <col min="7183" max="7183" width="9.140625" style="59"/>
    <col min="7184" max="7184" width="10.85546875" style="59" customWidth="1"/>
    <col min="7185" max="7185" width="9.140625" style="59"/>
    <col min="7186" max="7187" width="11.42578125" style="59" customWidth="1"/>
    <col min="7188" max="7193" width="9.140625" style="59"/>
    <col min="7194" max="7194" width="13.42578125" style="59" bestFit="1" customWidth="1"/>
    <col min="7195" max="7195" width="21" style="59" bestFit="1" customWidth="1"/>
    <col min="7196" max="7196" width="14.5703125" style="59" customWidth="1"/>
    <col min="7197" max="7197" width="15" style="59" bestFit="1" customWidth="1"/>
    <col min="7198" max="7198" width="9.140625" style="59"/>
    <col min="7199" max="7199" width="16" style="59" customWidth="1"/>
    <col min="7200" max="7201" width="11.42578125" style="59" customWidth="1"/>
    <col min="7202" max="7204" width="9.28515625" style="59" bestFit="1" customWidth="1"/>
    <col min="7205" max="7205" width="11.140625" style="59" bestFit="1" customWidth="1"/>
    <col min="7206" max="7401" width="9.140625" style="59"/>
    <col min="7402" max="7402" width="5.28515625" style="59" customWidth="1"/>
    <col min="7403" max="7403" width="11.140625" style="59" bestFit="1" customWidth="1"/>
    <col min="7404" max="7404" width="8" style="59" bestFit="1" customWidth="1"/>
    <col min="7405" max="7405" width="32.7109375" style="59" customWidth="1"/>
    <col min="7406" max="7406" width="13.140625" style="59" bestFit="1" customWidth="1"/>
    <col min="7407" max="7407" width="12.5703125" style="59" bestFit="1" customWidth="1"/>
    <col min="7408" max="7408" width="6.28515625" style="59" customWidth="1"/>
    <col min="7409" max="7409" width="26.7109375" style="59" bestFit="1" customWidth="1"/>
    <col min="7410" max="7410" width="12.140625" style="59" customWidth="1"/>
    <col min="7411" max="7413" width="0" style="59" hidden="1" customWidth="1"/>
    <col min="7414" max="7414" width="15.140625" style="59" customWidth="1"/>
    <col min="7415" max="7415" width="12.28515625" style="59" customWidth="1"/>
    <col min="7416" max="7416" width="14.140625" style="59" customWidth="1"/>
    <col min="7417" max="7417" width="12.7109375" style="59" customWidth="1"/>
    <col min="7418" max="7418" width="12" style="59" bestFit="1" customWidth="1"/>
    <col min="7419" max="7419" width="15.5703125" style="59" customWidth="1"/>
    <col min="7420" max="7420" width="14.7109375" style="59" customWidth="1"/>
    <col min="7421" max="7421" width="13.5703125" style="59" customWidth="1"/>
    <col min="7422" max="7422" width="12.85546875" style="59" customWidth="1"/>
    <col min="7423" max="7423" width="13.7109375" style="59" bestFit="1" customWidth="1"/>
    <col min="7424" max="7424" width="12.28515625" style="59" customWidth="1"/>
    <col min="7425" max="7425" width="12.140625" style="59" customWidth="1"/>
    <col min="7426" max="7426" width="13.85546875" style="59" bestFit="1" customWidth="1"/>
    <col min="7427" max="7427" width="14.5703125" style="59" customWidth="1"/>
    <col min="7428" max="7428" width="18" style="59" customWidth="1"/>
    <col min="7429" max="7429" width="13.28515625" style="59" customWidth="1"/>
    <col min="7430" max="7430" width="6.85546875" style="59" customWidth="1"/>
    <col min="7431" max="7431" width="10.5703125" style="59" customWidth="1"/>
    <col min="7432" max="7432" width="17.140625" style="59" customWidth="1"/>
    <col min="7433" max="7436" width="9.140625" style="59"/>
    <col min="7437" max="7437" width="11.5703125" style="59" customWidth="1"/>
    <col min="7438" max="7438" width="11.7109375" style="59" customWidth="1"/>
    <col min="7439" max="7439" width="9.140625" style="59"/>
    <col min="7440" max="7440" width="10.85546875" style="59" customWidth="1"/>
    <col min="7441" max="7441" width="9.140625" style="59"/>
    <col min="7442" max="7443" width="11.42578125" style="59" customWidth="1"/>
    <col min="7444" max="7449" width="9.140625" style="59"/>
    <col min="7450" max="7450" width="13.42578125" style="59" bestFit="1" customWidth="1"/>
    <col min="7451" max="7451" width="21" style="59" bestFit="1" customWidth="1"/>
    <col min="7452" max="7452" width="14.5703125" style="59" customWidth="1"/>
    <col min="7453" max="7453" width="15" style="59" bestFit="1" customWidth="1"/>
    <col min="7454" max="7454" width="9.140625" style="59"/>
    <col min="7455" max="7455" width="16" style="59" customWidth="1"/>
    <col min="7456" max="7457" width="11.42578125" style="59" customWidth="1"/>
    <col min="7458" max="7460" width="9.28515625" style="59" bestFit="1" customWidth="1"/>
    <col min="7461" max="7461" width="11.140625" style="59" bestFit="1" customWidth="1"/>
    <col min="7462" max="7657" width="9.140625" style="59"/>
    <col min="7658" max="7658" width="5.28515625" style="59" customWidth="1"/>
    <col min="7659" max="7659" width="11.140625" style="59" bestFit="1" customWidth="1"/>
    <col min="7660" max="7660" width="8" style="59" bestFit="1" customWidth="1"/>
    <col min="7661" max="7661" width="32.7109375" style="59" customWidth="1"/>
    <col min="7662" max="7662" width="13.140625" style="59" bestFit="1" customWidth="1"/>
    <col min="7663" max="7663" width="12.5703125" style="59" bestFit="1" customWidth="1"/>
    <col min="7664" max="7664" width="6.28515625" style="59" customWidth="1"/>
    <col min="7665" max="7665" width="26.7109375" style="59" bestFit="1" customWidth="1"/>
    <col min="7666" max="7666" width="12.140625" style="59" customWidth="1"/>
    <col min="7667" max="7669" width="0" style="59" hidden="1" customWidth="1"/>
    <col min="7670" max="7670" width="15.140625" style="59" customWidth="1"/>
    <col min="7671" max="7671" width="12.28515625" style="59" customWidth="1"/>
    <col min="7672" max="7672" width="14.140625" style="59" customWidth="1"/>
    <col min="7673" max="7673" width="12.7109375" style="59" customWidth="1"/>
    <col min="7674" max="7674" width="12" style="59" bestFit="1" customWidth="1"/>
    <col min="7675" max="7675" width="15.5703125" style="59" customWidth="1"/>
    <col min="7676" max="7676" width="14.7109375" style="59" customWidth="1"/>
    <col min="7677" max="7677" width="13.5703125" style="59" customWidth="1"/>
    <col min="7678" max="7678" width="12.85546875" style="59" customWidth="1"/>
    <col min="7679" max="7679" width="13.7109375" style="59" bestFit="1" customWidth="1"/>
    <col min="7680" max="7680" width="12.28515625" style="59" customWidth="1"/>
    <col min="7681" max="7681" width="12.140625" style="59" customWidth="1"/>
    <col min="7682" max="7682" width="13.85546875" style="59" bestFit="1" customWidth="1"/>
    <col min="7683" max="7683" width="14.5703125" style="59" customWidth="1"/>
    <col min="7684" max="7684" width="18" style="59" customWidth="1"/>
    <col min="7685" max="7685" width="13.28515625" style="59" customWidth="1"/>
    <col min="7686" max="7686" width="6.85546875" style="59" customWidth="1"/>
    <col min="7687" max="7687" width="10.5703125" style="59" customWidth="1"/>
    <col min="7688" max="7688" width="17.140625" style="59" customWidth="1"/>
    <col min="7689" max="7692" width="9.140625" style="59"/>
    <col min="7693" max="7693" width="11.5703125" style="59" customWidth="1"/>
    <col min="7694" max="7694" width="11.7109375" style="59" customWidth="1"/>
    <col min="7695" max="7695" width="9.140625" style="59"/>
    <col min="7696" max="7696" width="10.85546875" style="59" customWidth="1"/>
    <col min="7697" max="7697" width="9.140625" style="59"/>
    <col min="7698" max="7699" width="11.42578125" style="59" customWidth="1"/>
    <col min="7700" max="7705" width="9.140625" style="59"/>
    <col min="7706" max="7706" width="13.42578125" style="59" bestFit="1" customWidth="1"/>
    <col min="7707" max="7707" width="21" style="59" bestFit="1" customWidth="1"/>
    <col min="7708" max="7708" width="14.5703125" style="59" customWidth="1"/>
    <col min="7709" max="7709" width="15" style="59" bestFit="1" customWidth="1"/>
    <col min="7710" max="7710" width="9.140625" style="59"/>
    <col min="7711" max="7711" width="16" style="59" customWidth="1"/>
    <col min="7712" max="7713" width="11.42578125" style="59" customWidth="1"/>
    <col min="7714" max="7716" width="9.28515625" style="59" bestFit="1" customWidth="1"/>
    <col min="7717" max="7717" width="11.140625" style="59" bestFit="1" customWidth="1"/>
    <col min="7718" max="7913" width="9.140625" style="59"/>
    <col min="7914" max="7914" width="5.28515625" style="59" customWidth="1"/>
    <col min="7915" max="7915" width="11.140625" style="59" bestFit="1" customWidth="1"/>
    <col min="7916" max="7916" width="8" style="59" bestFit="1" customWidth="1"/>
    <col min="7917" max="7917" width="32.7109375" style="59" customWidth="1"/>
    <col min="7918" max="7918" width="13.140625" style="59" bestFit="1" customWidth="1"/>
    <col min="7919" max="7919" width="12.5703125" style="59" bestFit="1" customWidth="1"/>
    <col min="7920" max="7920" width="6.28515625" style="59" customWidth="1"/>
    <col min="7921" max="7921" width="26.7109375" style="59" bestFit="1" customWidth="1"/>
    <col min="7922" max="7922" width="12.140625" style="59" customWidth="1"/>
    <col min="7923" max="7925" width="0" style="59" hidden="1" customWidth="1"/>
    <col min="7926" max="7926" width="15.140625" style="59" customWidth="1"/>
    <col min="7927" max="7927" width="12.28515625" style="59" customWidth="1"/>
    <col min="7928" max="7928" width="14.140625" style="59" customWidth="1"/>
    <col min="7929" max="7929" width="12.7109375" style="59" customWidth="1"/>
    <col min="7930" max="7930" width="12" style="59" bestFit="1" customWidth="1"/>
    <col min="7931" max="7931" width="15.5703125" style="59" customWidth="1"/>
    <col min="7932" max="7932" width="14.7109375" style="59" customWidth="1"/>
    <col min="7933" max="7933" width="13.5703125" style="59" customWidth="1"/>
    <col min="7934" max="7934" width="12.85546875" style="59" customWidth="1"/>
    <col min="7935" max="7935" width="13.7109375" style="59" bestFit="1" customWidth="1"/>
    <col min="7936" max="7936" width="12.28515625" style="59" customWidth="1"/>
    <col min="7937" max="7937" width="12.140625" style="59" customWidth="1"/>
    <col min="7938" max="7938" width="13.85546875" style="59" bestFit="1" customWidth="1"/>
    <col min="7939" max="7939" width="14.5703125" style="59" customWidth="1"/>
    <col min="7940" max="7940" width="18" style="59" customWidth="1"/>
    <col min="7941" max="7941" width="13.28515625" style="59" customWidth="1"/>
    <col min="7942" max="7942" width="6.85546875" style="59" customWidth="1"/>
    <col min="7943" max="7943" width="10.5703125" style="59" customWidth="1"/>
    <col min="7944" max="7944" width="17.140625" style="59" customWidth="1"/>
    <col min="7945" max="7948" width="9.140625" style="59"/>
    <col min="7949" max="7949" width="11.5703125" style="59" customWidth="1"/>
    <col min="7950" max="7950" width="11.7109375" style="59" customWidth="1"/>
    <col min="7951" max="7951" width="9.140625" style="59"/>
    <col min="7952" max="7952" width="10.85546875" style="59" customWidth="1"/>
    <col min="7953" max="7953" width="9.140625" style="59"/>
    <col min="7954" max="7955" width="11.42578125" style="59" customWidth="1"/>
    <col min="7956" max="7961" width="9.140625" style="59"/>
    <col min="7962" max="7962" width="13.42578125" style="59" bestFit="1" customWidth="1"/>
    <col min="7963" max="7963" width="21" style="59" bestFit="1" customWidth="1"/>
    <col min="7964" max="7964" width="14.5703125" style="59" customWidth="1"/>
    <col min="7965" max="7965" width="15" style="59" bestFit="1" customWidth="1"/>
    <col min="7966" max="7966" width="9.140625" style="59"/>
    <col min="7967" max="7967" width="16" style="59" customWidth="1"/>
    <col min="7968" max="7969" width="11.42578125" style="59" customWidth="1"/>
    <col min="7970" max="7972" width="9.28515625" style="59" bestFit="1" customWidth="1"/>
    <col min="7973" max="7973" width="11.140625" style="59" bestFit="1" customWidth="1"/>
    <col min="7974" max="8169" width="9.140625" style="59"/>
    <col min="8170" max="8170" width="5.28515625" style="59" customWidth="1"/>
    <col min="8171" max="8171" width="11.140625" style="59" bestFit="1" customWidth="1"/>
    <col min="8172" max="8172" width="8" style="59" bestFit="1" customWidth="1"/>
    <col min="8173" max="8173" width="32.7109375" style="59" customWidth="1"/>
    <col min="8174" max="8174" width="13.140625" style="59" bestFit="1" customWidth="1"/>
    <col min="8175" max="8175" width="12.5703125" style="59" bestFit="1" customWidth="1"/>
    <col min="8176" max="8176" width="6.28515625" style="59" customWidth="1"/>
    <col min="8177" max="8177" width="26.7109375" style="59" bestFit="1" customWidth="1"/>
    <col min="8178" max="8178" width="12.140625" style="59" customWidth="1"/>
    <col min="8179" max="8181" width="0" style="59" hidden="1" customWidth="1"/>
    <col min="8182" max="8182" width="15.140625" style="59" customWidth="1"/>
    <col min="8183" max="8183" width="12.28515625" style="59" customWidth="1"/>
    <col min="8184" max="8184" width="14.140625" style="59" customWidth="1"/>
    <col min="8185" max="8185" width="12.7109375" style="59" customWidth="1"/>
    <col min="8186" max="8186" width="12" style="59" bestFit="1" customWidth="1"/>
    <col min="8187" max="8187" width="15.5703125" style="59" customWidth="1"/>
    <col min="8188" max="8188" width="14.7109375" style="59" customWidth="1"/>
    <col min="8189" max="8189" width="13.5703125" style="59" customWidth="1"/>
    <col min="8190" max="8190" width="12.85546875" style="59" customWidth="1"/>
    <col min="8191" max="8191" width="13.7109375" style="59" bestFit="1" customWidth="1"/>
    <col min="8192" max="8192" width="12.28515625" style="59" customWidth="1"/>
    <col min="8193" max="8193" width="12.140625" style="59" customWidth="1"/>
    <col min="8194" max="8194" width="13.85546875" style="59" bestFit="1" customWidth="1"/>
    <col min="8195" max="8195" width="14.5703125" style="59" customWidth="1"/>
    <col min="8196" max="8196" width="18" style="59" customWidth="1"/>
    <col min="8197" max="8197" width="13.28515625" style="59" customWidth="1"/>
    <col min="8198" max="8198" width="6.85546875" style="59" customWidth="1"/>
    <col min="8199" max="8199" width="10.5703125" style="59" customWidth="1"/>
    <col min="8200" max="8200" width="17.140625" style="59" customWidth="1"/>
    <col min="8201" max="8204" width="9.140625" style="59"/>
    <col min="8205" max="8205" width="11.5703125" style="59" customWidth="1"/>
    <col min="8206" max="8206" width="11.7109375" style="59" customWidth="1"/>
    <col min="8207" max="8207" width="9.140625" style="59"/>
    <col min="8208" max="8208" width="10.85546875" style="59" customWidth="1"/>
    <col min="8209" max="8209" width="9.140625" style="59"/>
    <col min="8210" max="8211" width="11.42578125" style="59" customWidth="1"/>
    <col min="8212" max="8217" width="9.140625" style="59"/>
    <col min="8218" max="8218" width="13.42578125" style="59" bestFit="1" customWidth="1"/>
    <col min="8219" max="8219" width="21" style="59" bestFit="1" customWidth="1"/>
    <col min="8220" max="8220" width="14.5703125" style="59" customWidth="1"/>
    <col min="8221" max="8221" width="15" style="59" bestFit="1" customWidth="1"/>
    <col min="8222" max="8222" width="9.140625" style="59"/>
    <col min="8223" max="8223" width="16" style="59" customWidth="1"/>
    <col min="8224" max="8225" width="11.42578125" style="59" customWidth="1"/>
    <col min="8226" max="8228" width="9.28515625" style="59" bestFit="1" customWidth="1"/>
    <col min="8229" max="8229" width="11.140625" style="59" bestFit="1" customWidth="1"/>
    <col min="8230" max="8425" width="9.140625" style="59"/>
    <col min="8426" max="8426" width="5.28515625" style="59" customWidth="1"/>
    <col min="8427" max="8427" width="11.140625" style="59" bestFit="1" customWidth="1"/>
    <col min="8428" max="8428" width="8" style="59" bestFit="1" customWidth="1"/>
    <col min="8429" max="8429" width="32.7109375" style="59" customWidth="1"/>
    <col min="8430" max="8430" width="13.140625" style="59" bestFit="1" customWidth="1"/>
    <col min="8431" max="8431" width="12.5703125" style="59" bestFit="1" customWidth="1"/>
    <col min="8432" max="8432" width="6.28515625" style="59" customWidth="1"/>
    <col min="8433" max="8433" width="26.7109375" style="59" bestFit="1" customWidth="1"/>
    <col min="8434" max="8434" width="12.140625" style="59" customWidth="1"/>
    <col min="8435" max="8437" width="0" style="59" hidden="1" customWidth="1"/>
    <col min="8438" max="8438" width="15.140625" style="59" customWidth="1"/>
    <col min="8439" max="8439" width="12.28515625" style="59" customWidth="1"/>
    <col min="8440" max="8440" width="14.140625" style="59" customWidth="1"/>
    <col min="8441" max="8441" width="12.7109375" style="59" customWidth="1"/>
    <col min="8442" max="8442" width="12" style="59" bestFit="1" customWidth="1"/>
    <col min="8443" max="8443" width="15.5703125" style="59" customWidth="1"/>
    <col min="8444" max="8444" width="14.7109375" style="59" customWidth="1"/>
    <col min="8445" max="8445" width="13.5703125" style="59" customWidth="1"/>
    <col min="8446" max="8446" width="12.85546875" style="59" customWidth="1"/>
    <col min="8447" max="8447" width="13.7109375" style="59" bestFit="1" customWidth="1"/>
    <col min="8448" max="8448" width="12.28515625" style="59" customWidth="1"/>
    <col min="8449" max="8449" width="12.140625" style="59" customWidth="1"/>
    <col min="8450" max="8450" width="13.85546875" style="59" bestFit="1" customWidth="1"/>
    <col min="8451" max="8451" width="14.5703125" style="59" customWidth="1"/>
    <col min="8452" max="8452" width="18" style="59" customWidth="1"/>
    <col min="8453" max="8453" width="13.28515625" style="59" customWidth="1"/>
    <col min="8454" max="8454" width="6.85546875" style="59" customWidth="1"/>
    <col min="8455" max="8455" width="10.5703125" style="59" customWidth="1"/>
    <col min="8456" max="8456" width="17.140625" style="59" customWidth="1"/>
    <col min="8457" max="8460" width="9.140625" style="59"/>
    <col min="8461" max="8461" width="11.5703125" style="59" customWidth="1"/>
    <col min="8462" max="8462" width="11.7109375" style="59" customWidth="1"/>
    <col min="8463" max="8463" width="9.140625" style="59"/>
    <col min="8464" max="8464" width="10.85546875" style="59" customWidth="1"/>
    <col min="8465" max="8465" width="9.140625" style="59"/>
    <col min="8466" max="8467" width="11.42578125" style="59" customWidth="1"/>
    <col min="8468" max="8473" width="9.140625" style="59"/>
    <col min="8474" max="8474" width="13.42578125" style="59" bestFit="1" customWidth="1"/>
    <col min="8475" max="8475" width="21" style="59" bestFit="1" customWidth="1"/>
    <col min="8476" max="8476" width="14.5703125" style="59" customWidth="1"/>
    <col min="8477" max="8477" width="15" style="59" bestFit="1" customWidth="1"/>
    <col min="8478" max="8478" width="9.140625" style="59"/>
    <col min="8479" max="8479" width="16" style="59" customWidth="1"/>
    <col min="8480" max="8481" width="11.42578125" style="59" customWidth="1"/>
    <col min="8482" max="8484" width="9.28515625" style="59" bestFit="1" customWidth="1"/>
    <col min="8485" max="8485" width="11.140625" style="59" bestFit="1" customWidth="1"/>
    <col min="8486" max="8681" width="9.140625" style="59"/>
    <col min="8682" max="8682" width="5.28515625" style="59" customWidth="1"/>
    <col min="8683" max="8683" width="11.140625" style="59" bestFit="1" customWidth="1"/>
    <col min="8684" max="8684" width="8" style="59" bestFit="1" customWidth="1"/>
    <col min="8685" max="8685" width="32.7109375" style="59" customWidth="1"/>
    <col min="8686" max="8686" width="13.140625" style="59" bestFit="1" customWidth="1"/>
    <col min="8687" max="8687" width="12.5703125" style="59" bestFit="1" customWidth="1"/>
    <col min="8688" max="8688" width="6.28515625" style="59" customWidth="1"/>
    <col min="8689" max="8689" width="26.7109375" style="59" bestFit="1" customWidth="1"/>
    <col min="8690" max="8690" width="12.140625" style="59" customWidth="1"/>
    <col min="8691" max="8693" width="0" style="59" hidden="1" customWidth="1"/>
    <col min="8694" max="8694" width="15.140625" style="59" customWidth="1"/>
    <col min="8695" max="8695" width="12.28515625" style="59" customWidth="1"/>
    <col min="8696" max="8696" width="14.140625" style="59" customWidth="1"/>
    <col min="8697" max="8697" width="12.7109375" style="59" customWidth="1"/>
    <col min="8698" max="8698" width="12" style="59" bestFit="1" customWidth="1"/>
    <col min="8699" max="8699" width="15.5703125" style="59" customWidth="1"/>
    <col min="8700" max="8700" width="14.7109375" style="59" customWidth="1"/>
    <col min="8701" max="8701" width="13.5703125" style="59" customWidth="1"/>
    <col min="8702" max="8702" width="12.85546875" style="59" customWidth="1"/>
    <col min="8703" max="8703" width="13.7109375" style="59" bestFit="1" customWidth="1"/>
    <col min="8704" max="8704" width="12.28515625" style="59" customWidth="1"/>
    <col min="8705" max="8705" width="12.140625" style="59" customWidth="1"/>
    <col min="8706" max="8706" width="13.85546875" style="59" bestFit="1" customWidth="1"/>
    <col min="8707" max="8707" width="14.5703125" style="59" customWidth="1"/>
    <col min="8708" max="8708" width="18" style="59" customWidth="1"/>
    <col min="8709" max="8709" width="13.28515625" style="59" customWidth="1"/>
    <col min="8710" max="8710" width="6.85546875" style="59" customWidth="1"/>
    <col min="8711" max="8711" width="10.5703125" style="59" customWidth="1"/>
    <col min="8712" max="8712" width="17.140625" style="59" customWidth="1"/>
    <col min="8713" max="8716" width="9.140625" style="59"/>
    <col min="8717" max="8717" width="11.5703125" style="59" customWidth="1"/>
    <col min="8718" max="8718" width="11.7109375" style="59" customWidth="1"/>
    <col min="8719" max="8719" width="9.140625" style="59"/>
    <col min="8720" max="8720" width="10.85546875" style="59" customWidth="1"/>
    <col min="8721" max="8721" width="9.140625" style="59"/>
    <col min="8722" max="8723" width="11.42578125" style="59" customWidth="1"/>
    <col min="8724" max="8729" width="9.140625" style="59"/>
    <col min="8730" max="8730" width="13.42578125" style="59" bestFit="1" customWidth="1"/>
    <col min="8731" max="8731" width="21" style="59" bestFit="1" customWidth="1"/>
    <col min="8732" max="8732" width="14.5703125" style="59" customWidth="1"/>
    <col min="8733" max="8733" width="15" style="59" bestFit="1" customWidth="1"/>
    <col min="8734" max="8734" width="9.140625" style="59"/>
    <col min="8735" max="8735" width="16" style="59" customWidth="1"/>
    <col min="8736" max="8737" width="11.42578125" style="59" customWidth="1"/>
    <col min="8738" max="8740" width="9.28515625" style="59" bestFit="1" customWidth="1"/>
    <col min="8741" max="8741" width="11.140625" style="59" bestFit="1" customWidth="1"/>
    <col min="8742" max="8937" width="9.140625" style="59"/>
    <col min="8938" max="8938" width="5.28515625" style="59" customWidth="1"/>
    <col min="8939" max="8939" width="11.140625" style="59" bestFit="1" customWidth="1"/>
    <col min="8940" max="8940" width="8" style="59" bestFit="1" customWidth="1"/>
    <col min="8941" max="8941" width="32.7109375" style="59" customWidth="1"/>
    <col min="8942" max="8942" width="13.140625" style="59" bestFit="1" customWidth="1"/>
    <col min="8943" max="8943" width="12.5703125" style="59" bestFit="1" customWidth="1"/>
    <col min="8944" max="8944" width="6.28515625" style="59" customWidth="1"/>
    <col min="8945" max="8945" width="26.7109375" style="59" bestFit="1" customWidth="1"/>
    <col min="8946" max="8946" width="12.140625" style="59" customWidth="1"/>
    <col min="8947" max="8949" width="0" style="59" hidden="1" customWidth="1"/>
    <col min="8950" max="8950" width="15.140625" style="59" customWidth="1"/>
    <col min="8951" max="8951" width="12.28515625" style="59" customWidth="1"/>
    <col min="8952" max="8952" width="14.140625" style="59" customWidth="1"/>
    <col min="8953" max="8953" width="12.7109375" style="59" customWidth="1"/>
    <col min="8954" max="8954" width="12" style="59" bestFit="1" customWidth="1"/>
    <col min="8955" max="8955" width="15.5703125" style="59" customWidth="1"/>
    <col min="8956" max="8956" width="14.7109375" style="59" customWidth="1"/>
    <col min="8957" max="8957" width="13.5703125" style="59" customWidth="1"/>
    <col min="8958" max="8958" width="12.85546875" style="59" customWidth="1"/>
    <col min="8959" max="8959" width="13.7109375" style="59" bestFit="1" customWidth="1"/>
    <col min="8960" max="8960" width="12.28515625" style="59" customWidth="1"/>
    <col min="8961" max="8961" width="12.140625" style="59" customWidth="1"/>
    <col min="8962" max="8962" width="13.85546875" style="59" bestFit="1" customWidth="1"/>
    <col min="8963" max="8963" width="14.5703125" style="59" customWidth="1"/>
    <col min="8964" max="8964" width="18" style="59" customWidth="1"/>
    <col min="8965" max="8965" width="13.28515625" style="59" customWidth="1"/>
    <col min="8966" max="8966" width="6.85546875" style="59" customWidth="1"/>
    <col min="8967" max="8967" width="10.5703125" style="59" customWidth="1"/>
    <col min="8968" max="8968" width="17.140625" style="59" customWidth="1"/>
    <col min="8969" max="8972" width="9.140625" style="59"/>
    <col min="8973" max="8973" width="11.5703125" style="59" customWidth="1"/>
    <col min="8974" max="8974" width="11.7109375" style="59" customWidth="1"/>
    <col min="8975" max="8975" width="9.140625" style="59"/>
    <col min="8976" max="8976" width="10.85546875" style="59" customWidth="1"/>
    <col min="8977" max="8977" width="9.140625" style="59"/>
    <col min="8978" max="8979" width="11.42578125" style="59" customWidth="1"/>
    <col min="8980" max="8985" width="9.140625" style="59"/>
    <col min="8986" max="8986" width="13.42578125" style="59" bestFit="1" customWidth="1"/>
    <col min="8987" max="8987" width="21" style="59" bestFit="1" customWidth="1"/>
    <col min="8988" max="8988" width="14.5703125" style="59" customWidth="1"/>
    <col min="8989" max="8989" width="15" style="59" bestFit="1" customWidth="1"/>
    <col min="8990" max="8990" width="9.140625" style="59"/>
    <col min="8991" max="8991" width="16" style="59" customWidth="1"/>
    <col min="8992" max="8993" width="11.42578125" style="59" customWidth="1"/>
    <col min="8994" max="8996" width="9.28515625" style="59" bestFit="1" customWidth="1"/>
    <col min="8997" max="8997" width="11.140625" style="59" bestFit="1" customWidth="1"/>
    <col min="8998" max="9193" width="9.140625" style="59"/>
    <col min="9194" max="9194" width="5.28515625" style="59" customWidth="1"/>
    <col min="9195" max="9195" width="11.140625" style="59" bestFit="1" customWidth="1"/>
    <col min="9196" max="9196" width="8" style="59" bestFit="1" customWidth="1"/>
    <col min="9197" max="9197" width="32.7109375" style="59" customWidth="1"/>
    <col min="9198" max="9198" width="13.140625" style="59" bestFit="1" customWidth="1"/>
    <col min="9199" max="9199" width="12.5703125" style="59" bestFit="1" customWidth="1"/>
    <col min="9200" max="9200" width="6.28515625" style="59" customWidth="1"/>
    <col min="9201" max="9201" width="26.7109375" style="59" bestFit="1" customWidth="1"/>
    <col min="9202" max="9202" width="12.140625" style="59" customWidth="1"/>
    <col min="9203" max="9205" width="0" style="59" hidden="1" customWidth="1"/>
    <col min="9206" max="9206" width="15.140625" style="59" customWidth="1"/>
    <col min="9207" max="9207" width="12.28515625" style="59" customWidth="1"/>
    <col min="9208" max="9208" width="14.140625" style="59" customWidth="1"/>
    <col min="9209" max="9209" width="12.7109375" style="59" customWidth="1"/>
    <col min="9210" max="9210" width="12" style="59" bestFit="1" customWidth="1"/>
    <col min="9211" max="9211" width="15.5703125" style="59" customWidth="1"/>
    <col min="9212" max="9212" width="14.7109375" style="59" customWidth="1"/>
    <col min="9213" max="9213" width="13.5703125" style="59" customWidth="1"/>
    <col min="9214" max="9214" width="12.85546875" style="59" customWidth="1"/>
    <col min="9215" max="9215" width="13.7109375" style="59" bestFit="1" customWidth="1"/>
    <col min="9216" max="9216" width="12.28515625" style="59" customWidth="1"/>
    <col min="9217" max="9217" width="12.140625" style="59" customWidth="1"/>
    <col min="9218" max="9218" width="13.85546875" style="59" bestFit="1" customWidth="1"/>
    <col min="9219" max="9219" width="14.5703125" style="59" customWidth="1"/>
    <col min="9220" max="9220" width="18" style="59" customWidth="1"/>
    <col min="9221" max="9221" width="13.28515625" style="59" customWidth="1"/>
    <col min="9222" max="9222" width="6.85546875" style="59" customWidth="1"/>
    <col min="9223" max="9223" width="10.5703125" style="59" customWidth="1"/>
    <col min="9224" max="9224" width="17.140625" style="59" customWidth="1"/>
    <col min="9225" max="9228" width="9.140625" style="59"/>
    <col min="9229" max="9229" width="11.5703125" style="59" customWidth="1"/>
    <col min="9230" max="9230" width="11.7109375" style="59" customWidth="1"/>
    <col min="9231" max="9231" width="9.140625" style="59"/>
    <col min="9232" max="9232" width="10.85546875" style="59" customWidth="1"/>
    <col min="9233" max="9233" width="9.140625" style="59"/>
    <col min="9234" max="9235" width="11.42578125" style="59" customWidth="1"/>
    <col min="9236" max="9241" width="9.140625" style="59"/>
    <col min="9242" max="9242" width="13.42578125" style="59" bestFit="1" customWidth="1"/>
    <col min="9243" max="9243" width="21" style="59" bestFit="1" customWidth="1"/>
    <col min="9244" max="9244" width="14.5703125" style="59" customWidth="1"/>
    <col min="9245" max="9245" width="15" style="59" bestFit="1" customWidth="1"/>
    <col min="9246" max="9246" width="9.140625" style="59"/>
    <col min="9247" max="9247" width="16" style="59" customWidth="1"/>
    <col min="9248" max="9249" width="11.42578125" style="59" customWidth="1"/>
    <col min="9250" max="9252" width="9.28515625" style="59" bestFit="1" customWidth="1"/>
    <col min="9253" max="9253" width="11.140625" style="59" bestFit="1" customWidth="1"/>
    <col min="9254" max="9449" width="9.140625" style="59"/>
    <col min="9450" max="9450" width="5.28515625" style="59" customWidth="1"/>
    <col min="9451" max="9451" width="11.140625" style="59" bestFit="1" customWidth="1"/>
    <col min="9452" max="9452" width="8" style="59" bestFit="1" customWidth="1"/>
    <col min="9453" max="9453" width="32.7109375" style="59" customWidth="1"/>
    <col min="9454" max="9454" width="13.140625" style="59" bestFit="1" customWidth="1"/>
    <col min="9455" max="9455" width="12.5703125" style="59" bestFit="1" customWidth="1"/>
    <col min="9456" max="9456" width="6.28515625" style="59" customWidth="1"/>
    <col min="9457" max="9457" width="26.7109375" style="59" bestFit="1" customWidth="1"/>
    <col min="9458" max="9458" width="12.140625" style="59" customWidth="1"/>
    <col min="9459" max="9461" width="0" style="59" hidden="1" customWidth="1"/>
    <col min="9462" max="9462" width="15.140625" style="59" customWidth="1"/>
    <col min="9463" max="9463" width="12.28515625" style="59" customWidth="1"/>
    <col min="9464" max="9464" width="14.140625" style="59" customWidth="1"/>
    <col min="9465" max="9465" width="12.7109375" style="59" customWidth="1"/>
    <col min="9466" max="9466" width="12" style="59" bestFit="1" customWidth="1"/>
    <col min="9467" max="9467" width="15.5703125" style="59" customWidth="1"/>
    <col min="9468" max="9468" width="14.7109375" style="59" customWidth="1"/>
    <col min="9469" max="9469" width="13.5703125" style="59" customWidth="1"/>
    <col min="9470" max="9470" width="12.85546875" style="59" customWidth="1"/>
    <col min="9471" max="9471" width="13.7109375" style="59" bestFit="1" customWidth="1"/>
    <col min="9472" max="9472" width="12.28515625" style="59" customWidth="1"/>
    <col min="9473" max="9473" width="12.140625" style="59" customWidth="1"/>
    <col min="9474" max="9474" width="13.85546875" style="59" bestFit="1" customWidth="1"/>
    <col min="9475" max="9475" width="14.5703125" style="59" customWidth="1"/>
    <col min="9476" max="9476" width="18" style="59" customWidth="1"/>
    <col min="9477" max="9477" width="13.28515625" style="59" customWidth="1"/>
    <col min="9478" max="9478" width="6.85546875" style="59" customWidth="1"/>
    <col min="9479" max="9479" width="10.5703125" style="59" customWidth="1"/>
    <col min="9480" max="9480" width="17.140625" style="59" customWidth="1"/>
    <col min="9481" max="9484" width="9.140625" style="59"/>
    <col min="9485" max="9485" width="11.5703125" style="59" customWidth="1"/>
    <col min="9486" max="9486" width="11.7109375" style="59" customWidth="1"/>
    <col min="9487" max="9487" width="9.140625" style="59"/>
    <col min="9488" max="9488" width="10.85546875" style="59" customWidth="1"/>
    <col min="9489" max="9489" width="9.140625" style="59"/>
    <col min="9490" max="9491" width="11.42578125" style="59" customWidth="1"/>
    <col min="9492" max="9497" width="9.140625" style="59"/>
    <col min="9498" max="9498" width="13.42578125" style="59" bestFit="1" customWidth="1"/>
    <col min="9499" max="9499" width="21" style="59" bestFit="1" customWidth="1"/>
    <col min="9500" max="9500" width="14.5703125" style="59" customWidth="1"/>
    <col min="9501" max="9501" width="15" style="59" bestFit="1" customWidth="1"/>
    <col min="9502" max="9502" width="9.140625" style="59"/>
    <col min="9503" max="9503" width="16" style="59" customWidth="1"/>
    <col min="9504" max="9505" width="11.42578125" style="59" customWidth="1"/>
    <col min="9506" max="9508" width="9.28515625" style="59" bestFit="1" customWidth="1"/>
    <col min="9509" max="9509" width="11.140625" style="59" bestFit="1" customWidth="1"/>
    <col min="9510" max="9705" width="9.140625" style="59"/>
    <col min="9706" max="9706" width="5.28515625" style="59" customWidth="1"/>
    <col min="9707" max="9707" width="11.140625" style="59" bestFit="1" customWidth="1"/>
    <col min="9708" max="9708" width="8" style="59" bestFit="1" customWidth="1"/>
    <col min="9709" max="9709" width="32.7109375" style="59" customWidth="1"/>
    <col min="9710" max="9710" width="13.140625" style="59" bestFit="1" customWidth="1"/>
    <col min="9711" max="9711" width="12.5703125" style="59" bestFit="1" customWidth="1"/>
    <col min="9712" max="9712" width="6.28515625" style="59" customWidth="1"/>
    <col min="9713" max="9713" width="26.7109375" style="59" bestFit="1" customWidth="1"/>
    <col min="9714" max="9714" width="12.140625" style="59" customWidth="1"/>
    <col min="9715" max="9717" width="0" style="59" hidden="1" customWidth="1"/>
    <col min="9718" max="9718" width="15.140625" style="59" customWidth="1"/>
    <col min="9719" max="9719" width="12.28515625" style="59" customWidth="1"/>
    <col min="9720" max="9720" width="14.140625" style="59" customWidth="1"/>
    <col min="9721" max="9721" width="12.7109375" style="59" customWidth="1"/>
    <col min="9722" max="9722" width="12" style="59" bestFit="1" customWidth="1"/>
    <col min="9723" max="9723" width="15.5703125" style="59" customWidth="1"/>
    <col min="9724" max="9724" width="14.7109375" style="59" customWidth="1"/>
    <col min="9725" max="9725" width="13.5703125" style="59" customWidth="1"/>
    <col min="9726" max="9726" width="12.85546875" style="59" customWidth="1"/>
    <col min="9727" max="9727" width="13.7109375" style="59" bestFit="1" customWidth="1"/>
    <col min="9728" max="9728" width="12.28515625" style="59" customWidth="1"/>
    <col min="9729" max="9729" width="12.140625" style="59" customWidth="1"/>
    <col min="9730" max="9730" width="13.85546875" style="59" bestFit="1" customWidth="1"/>
    <col min="9731" max="9731" width="14.5703125" style="59" customWidth="1"/>
    <col min="9732" max="9732" width="18" style="59" customWidth="1"/>
    <col min="9733" max="9733" width="13.28515625" style="59" customWidth="1"/>
    <col min="9734" max="9734" width="6.85546875" style="59" customWidth="1"/>
    <col min="9735" max="9735" width="10.5703125" style="59" customWidth="1"/>
    <col min="9736" max="9736" width="17.140625" style="59" customWidth="1"/>
    <col min="9737" max="9740" width="9.140625" style="59"/>
    <col min="9741" max="9741" width="11.5703125" style="59" customWidth="1"/>
    <col min="9742" max="9742" width="11.7109375" style="59" customWidth="1"/>
    <col min="9743" max="9743" width="9.140625" style="59"/>
    <col min="9744" max="9744" width="10.85546875" style="59" customWidth="1"/>
    <col min="9745" max="9745" width="9.140625" style="59"/>
    <col min="9746" max="9747" width="11.42578125" style="59" customWidth="1"/>
    <col min="9748" max="9753" width="9.140625" style="59"/>
    <col min="9754" max="9754" width="13.42578125" style="59" bestFit="1" customWidth="1"/>
    <col min="9755" max="9755" width="21" style="59" bestFit="1" customWidth="1"/>
    <col min="9756" max="9756" width="14.5703125" style="59" customWidth="1"/>
    <col min="9757" max="9757" width="15" style="59" bestFit="1" customWidth="1"/>
    <col min="9758" max="9758" width="9.140625" style="59"/>
    <col min="9759" max="9759" width="16" style="59" customWidth="1"/>
    <col min="9760" max="9761" width="11.42578125" style="59" customWidth="1"/>
    <col min="9762" max="9764" width="9.28515625" style="59" bestFit="1" customWidth="1"/>
    <col min="9765" max="9765" width="11.140625" style="59" bestFit="1" customWidth="1"/>
    <col min="9766" max="9961" width="9.140625" style="59"/>
    <col min="9962" max="9962" width="5.28515625" style="59" customWidth="1"/>
    <col min="9963" max="9963" width="11.140625" style="59" bestFit="1" customWidth="1"/>
    <col min="9964" max="9964" width="8" style="59" bestFit="1" customWidth="1"/>
    <col min="9965" max="9965" width="32.7109375" style="59" customWidth="1"/>
    <col min="9966" max="9966" width="13.140625" style="59" bestFit="1" customWidth="1"/>
    <col min="9967" max="9967" width="12.5703125" style="59" bestFit="1" customWidth="1"/>
    <col min="9968" max="9968" width="6.28515625" style="59" customWidth="1"/>
    <col min="9969" max="9969" width="26.7109375" style="59" bestFit="1" customWidth="1"/>
    <col min="9970" max="9970" width="12.140625" style="59" customWidth="1"/>
    <col min="9971" max="9973" width="0" style="59" hidden="1" customWidth="1"/>
    <col min="9974" max="9974" width="15.140625" style="59" customWidth="1"/>
    <col min="9975" max="9975" width="12.28515625" style="59" customWidth="1"/>
    <col min="9976" max="9976" width="14.140625" style="59" customWidth="1"/>
    <col min="9977" max="9977" width="12.7109375" style="59" customWidth="1"/>
    <col min="9978" max="9978" width="12" style="59" bestFit="1" customWidth="1"/>
    <col min="9979" max="9979" width="15.5703125" style="59" customWidth="1"/>
    <col min="9980" max="9980" width="14.7109375" style="59" customWidth="1"/>
    <col min="9981" max="9981" width="13.5703125" style="59" customWidth="1"/>
    <col min="9982" max="9982" width="12.85546875" style="59" customWidth="1"/>
    <col min="9983" max="9983" width="13.7109375" style="59" bestFit="1" customWidth="1"/>
    <col min="9984" max="9984" width="12.28515625" style="59" customWidth="1"/>
    <col min="9985" max="9985" width="12.140625" style="59" customWidth="1"/>
    <col min="9986" max="9986" width="13.85546875" style="59" bestFit="1" customWidth="1"/>
    <col min="9987" max="9987" width="14.5703125" style="59" customWidth="1"/>
    <col min="9988" max="9988" width="18" style="59" customWidth="1"/>
    <col min="9989" max="9989" width="13.28515625" style="59" customWidth="1"/>
    <col min="9990" max="9990" width="6.85546875" style="59" customWidth="1"/>
    <col min="9991" max="9991" width="10.5703125" style="59" customWidth="1"/>
    <col min="9992" max="9992" width="17.140625" style="59" customWidth="1"/>
    <col min="9993" max="9996" width="9.140625" style="59"/>
    <col min="9997" max="9997" width="11.5703125" style="59" customWidth="1"/>
    <col min="9998" max="9998" width="11.7109375" style="59" customWidth="1"/>
    <col min="9999" max="9999" width="9.140625" style="59"/>
    <col min="10000" max="10000" width="10.85546875" style="59" customWidth="1"/>
    <col min="10001" max="10001" width="9.140625" style="59"/>
    <col min="10002" max="10003" width="11.42578125" style="59" customWidth="1"/>
    <col min="10004" max="10009" width="9.140625" style="59"/>
    <col min="10010" max="10010" width="13.42578125" style="59" bestFit="1" customWidth="1"/>
    <col min="10011" max="10011" width="21" style="59" bestFit="1" customWidth="1"/>
    <col min="10012" max="10012" width="14.5703125" style="59" customWidth="1"/>
    <col min="10013" max="10013" width="15" style="59" bestFit="1" customWidth="1"/>
    <col min="10014" max="10014" width="9.140625" style="59"/>
    <col min="10015" max="10015" width="16" style="59" customWidth="1"/>
    <col min="10016" max="10017" width="11.42578125" style="59" customWidth="1"/>
    <col min="10018" max="10020" width="9.28515625" style="59" bestFit="1" customWidth="1"/>
    <col min="10021" max="10021" width="11.140625" style="59" bestFit="1" customWidth="1"/>
    <col min="10022" max="10217" width="9.140625" style="59"/>
    <col min="10218" max="10218" width="5.28515625" style="59" customWidth="1"/>
    <col min="10219" max="10219" width="11.140625" style="59" bestFit="1" customWidth="1"/>
    <col min="10220" max="10220" width="8" style="59" bestFit="1" customWidth="1"/>
    <col min="10221" max="10221" width="32.7109375" style="59" customWidth="1"/>
    <col min="10222" max="10222" width="13.140625" style="59" bestFit="1" customWidth="1"/>
    <col min="10223" max="10223" width="12.5703125" style="59" bestFit="1" customWidth="1"/>
    <col min="10224" max="10224" width="6.28515625" style="59" customWidth="1"/>
    <col min="10225" max="10225" width="26.7109375" style="59" bestFit="1" customWidth="1"/>
    <col min="10226" max="10226" width="12.140625" style="59" customWidth="1"/>
    <col min="10227" max="10229" width="0" style="59" hidden="1" customWidth="1"/>
    <col min="10230" max="10230" width="15.140625" style="59" customWidth="1"/>
    <col min="10231" max="10231" width="12.28515625" style="59" customWidth="1"/>
    <col min="10232" max="10232" width="14.140625" style="59" customWidth="1"/>
    <col min="10233" max="10233" width="12.7109375" style="59" customWidth="1"/>
    <col min="10234" max="10234" width="12" style="59" bestFit="1" customWidth="1"/>
    <col min="10235" max="10235" width="15.5703125" style="59" customWidth="1"/>
    <col min="10236" max="10236" width="14.7109375" style="59" customWidth="1"/>
    <col min="10237" max="10237" width="13.5703125" style="59" customWidth="1"/>
    <col min="10238" max="10238" width="12.85546875" style="59" customWidth="1"/>
    <col min="10239" max="10239" width="13.7109375" style="59" bestFit="1" customWidth="1"/>
    <col min="10240" max="10240" width="12.28515625" style="59" customWidth="1"/>
    <col min="10241" max="10241" width="12.140625" style="59" customWidth="1"/>
    <col min="10242" max="10242" width="13.85546875" style="59" bestFit="1" customWidth="1"/>
    <col min="10243" max="10243" width="14.5703125" style="59" customWidth="1"/>
    <col min="10244" max="10244" width="18" style="59" customWidth="1"/>
    <col min="10245" max="10245" width="13.28515625" style="59" customWidth="1"/>
    <col min="10246" max="10246" width="6.85546875" style="59" customWidth="1"/>
    <col min="10247" max="10247" width="10.5703125" style="59" customWidth="1"/>
    <col min="10248" max="10248" width="17.140625" style="59" customWidth="1"/>
    <col min="10249" max="10252" width="9.140625" style="59"/>
    <col min="10253" max="10253" width="11.5703125" style="59" customWidth="1"/>
    <col min="10254" max="10254" width="11.7109375" style="59" customWidth="1"/>
    <col min="10255" max="10255" width="9.140625" style="59"/>
    <col min="10256" max="10256" width="10.85546875" style="59" customWidth="1"/>
    <col min="10257" max="10257" width="9.140625" style="59"/>
    <col min="10258" max="10259" width="11.42578125" style="59" customWidth="1"/>
    <col min="10260" max="10265" width="9.140625" style="59"/>
    <col min="10266" max="10266" width="13.42578125" style="59" bestFit="1" customWidth="1"/>
    <col min="10267" max="10267" width="21" style="59" bestFit="1" customWidth="1"/>
    <col min="10268" max="10268" width="14.5703125" style="59" customWidth="1"/>
    <col min="10269" max="10269" width="15" style="59" bestFit="1" customWidth="1"/>
    <col min="10270" max="10270" width="9.140625" style="59"/>
    <col min="10271" max="10271" width="16" style="59" customWidth="1"/>
    <col min="10272" max="10273" width="11.42578125" style="59" customWidth="1"/>
    <col min="10274" max="10276" width="9.28515625" style="59" bestFit="1" customWidth="1"/>
    <col min="10277" max="10277" width="11.140625" style="59" bestFit="1" customWidth="1"/>
    <col min="10278" max="10473" width="9.140625" style="59"/>
    <col min="10474" max="10474" width="5.28515625" style="59" customWidth="1"/>
    <col min="10475" max="10475" width="11.140625" style="59" bestFit="1" customWidth="1"/>
    <col min="10476" max="10476" width="8" style="59" bestFit="1" customWidth="1"/>
    <col min="10477" max="10477" width="32.7109375" style="59" customWidth="1"/>
    <col min="10478" max="10478" width="13.140625" style="59" bestFit="1" customWidth="1"/>
    <col min="10479" max="10479" width="12.5703125" style="59" bestFit="1" customWidth="1"/>
    <col min="10480" max="10480" width="6.28515625" style="59" customWidth="1"/>
    <col min="10481" max="10481" width="26.7109375" style="59" bestFit="1" customWidth="1"/>
    <col min="10482" max="10482" width="12.140625" style="59" customWidth="1"/>
    <col min="10483" max="10485" width="0" style="59" hidden="1" customWidth="1"/>
    <col min="10486" max="10486" width="15.140625" style="59" customWidth="1"/>
    <col min="10487" max="10487" width="12.28515625" style="59" customWidth="1"/>
    <col min="10488" max="10488" width="14.140625" style="59" customWidth="1"/>
    <col min="10489" max="10489" width="12.7109375" style="59" customWidth="1"/>
    <col min="10490" max="10490" width="12" style="59" bestFit="1" customWidth="1"/>
    <col min="10491" max="10491" width="15.5703125" style="59" customWidth="1"/>
    <col min="10492" max="10492" width="14.7109375" style="59" customWidth="1"/>
    <col min="10493" max="10493" width="13.5703125" style="59" customWidth="1"/>
    <col min="10494" max="10494" width="12.85546875" style="59" customWidth="1"/>
    <col min="10495" max="10495" width="13.7109375" style="59" bestFit="1" customWidth="1"/>
    <col min="10496" max="10496" width="12.28515625" style="59" customWidth="1"/>
    <col min="10497" max="10497" width="12.140625" style="59" customWidth="1"/>
    <col min="10498" max="10498" width="13.85546875" style="59" bestFit="1" customWidth="1"/>
    <col min="10499" max="10499" width="14.5703125" style="59" customWidth="1"/>
    <col min="10500" max="10500" width="18" style="59" customWidth="1"/>
    <col min="10501" max="10501" width="13.28515625" style="59" customWidth="1"/>
    <col min="10502" max="10502" width="6.85546875" style="59" customWidth="1"/>
    <col min="10503" max="10503" width="10.5703125" style="59" customWidth="1"/>
    <col min="10504" max="10504" width="17.140625" style="59" customWidth="1"/>
    <col min="10505" max="10508" width="9.140625" style="59"/>
    <col min="10509" max="10509" width="11.5703125" style="59" customWidth="1"/>
    <col min="10510" max="10510" width="11.7109375" style="59" customWidth="1"/>
    <col min="10511" max="10511" width="9.140625" style="59"/>
    <col min="10512" max="10512" width="10.85546875" style="59" customWidth="1"/>
    <col min="10513" max="10513" width="9.140625" style="59"/>
    <col min="10514" max="10515" width="11.42578125" style="59" customWidth="1"/>
    <col min="10516" max="10521" width="9.140625" style="59"/>
    <col min="10522" max="10522" width="13.42578125" style="59" bestFit="1" customWidth="1"/>
    <col min="10523" max="10523" width="21" style="59" bestFit="1" customWidth="1"/>
    <col min="10524" max="10524" width="14.5703125" style="59" customWidth="1"/>
    <col min="10525" max="10525" width="15" style="59" bestFit="1" customWidth="1"/>
    <col min="10526" max="10526" width="9.140625" style="59"/>
    <col min="10527" max="10527" width="16" style="59" customWidth="1"/>
    <col min="10528" max="10529" width="11.42578125" style="59" customWidth="1"/>
    <col min="10530" max="10532" width="9.28515625" style="59" bestFit="1" customWidth="1"/>
    <col min="10533" max="10533" width="11.140625" style="59" bestFit="1" customWidth="1"/>
    <col min="10534" max="10729" width="9.140625" style="59"/>
    <col min="10730" max="10730" width="5.28515625" style="59" customWidth="1"/>
    <col min="10731" max="10731" width="11.140625" style="59" bestFit="1" customWidth="1"/>
    <col min="10732" max="10732" width="8" style="59" bestFit="1" customWidth="1"/>
    <col min="10733" max="10733" width="32.7109375" style="59" customWidth="1"/>
    <col min="10734" max="10734" width="13.140625" style="59" bestFit="1" customWidth="1"/>
    <col min="10735" max="10735" width="12.5703125" style="59" bestFit="1" customWidth="1"/>
    <col min="10736" max="10736" width="6.28515625" style="59" customWidth="1"/>
    <col min="10737" max="10737" width="26.7109375" style="59" bestFit="1" customWidth="1"/>
    <col min="10738" max="10738" width="12.140625" style="59" customWidth="1"/>
    <col min="10739" max="10741" width="0" style="59" hidden="1" customWidth="1"/>
    <col min="10742" max="10742" width="15.140625" style="59" customWidth="1"/>
    <col min="10743" max="10743" width="12.28515625" style="59" customWidth="1"/>
    <col min="10744" max="10744" width="14.140625" style="59" customWidth="1"/>
    <col min="10745" max="10745" width="12.7109375" style="59" customWidth="1"/>
    <col min="10746" max="10746" width="12" style="59" bestFit="1" customWidth="1"/>
    <col min="10747" max="10747" width="15.5703125" style="59" customWidth="1"/>
    <col min="10748" max="10748" width="14.7109375" style="59" customWidth="1"/>
    <col min="10749" max="10749" width="13.5703125" style="59" customWidth="1"/>
    <col min="10750" max="10750" width="12.85546875" style="59" customWidth="1"/>
    <col min="10751" max="10751" width="13.7109375" style="59" bestFit="1" customWidth="1"/>
    <col min="10752" max="10752" width="12.28515625" style="59" customWidth="1"/>
    <col min="10753" max="10753" width="12.140625" style="59" customWidth="1"/>
    <col min="10754" max="10754" width="13.85546875" style="59" bestFit="1" customWidth="1"/>
    <col min="10755" max="10755" width="14.5703125" style="59" customWidth="1"/>
    <col min="10756" max="10756" width="18" style="59" customWidth="1"/>
    <col min="10757" max="10757" width="13.28515625" style="59" customWidth="1"/>
    <col min="10758" max="10758" width="6.85546875" style="59" customWidth="1"/>
    <col min="10759" max="10759" width="10.5703125" style="59" customWidth="1"/>
    <col min="10760" max="10760" width="17.140625" style="59" customWidth="1"/>
    <col min="10761" max="10764" width="9.140625" style="59"/>
    <col min="10765" max="10765" width="11.5703125" style="59" customWidth="1"/>
    <col min="10766" max="10766" width="11.7109375" style="59" customWidth="1"/>
    <col min="10767" max="10767" width="9.140625" style="59"/>
    <col min="10768" max="10768" width="10.85546875" style="59" customWidth="1"/>
    <col min="10769" max="10769" width="9.140625" style="59"/>
    <col min="10770" max="10771" width="11.42578125" style="59" customWidth="1"/>
    <col min="10772" max="10777" width="9.140625" style="59"/>
    <col min="10778" max="10778" width="13.42578125" style="59" bestFit="1" customWidth="1"/>
    <col min="10779" max="10779" width="21" style="59" bestFit="1" customWidth="1"/>
    <col min="10780" max="10780" width="14.5703125" style="59" customWidth="1"/>
    <col min="10781" max="10781" width="15" style="59" bestFit="1" customWidth="1"/>
    <col min="10782" max="10782" width="9.140625" style="59"/>
    <col min="10783" max="10783" width="16" style="59" customWidth="1"/>
    <col min="10784" max="10785" width="11.42578125" style="59" customWidth="1"/>
    <col min="10786" max="10788" width="9.28515625" style="59" bestFit="1" customWidth="1"/>
    <col min="10789" max="10789" width="11.140625" style="59" bestFit="1" customWidth="1"/>
    <col min="10790" max="10985" width="9.140625" style="59"/>
    <col min="10986" max="10986" width="5.28515625" style="59" customWidth="1"/>
    <col min="10987" max="10987" width="11.140625" style="59" bestFit="1" customWidth="1"/>
    <col min="10988" max="10988" width="8" style="59" bestFit="1" customWidth="1"/>
    <col min="10989" max="10989" width="32.7109375" style="59" customWidth="1"/>
    <col min="10990" max="10990" width="13.140625" style="59" bestFit="1" customWidth="1"/>
    <col min="10991" max="10991" width="12.5703125" style="59" bestFit="1" customWidth="1"/>
    <col min="10992" max="10992" width="6.28515625" style="59" customWidth="1"/>
    <col min="10993" max="10993" width="26.7109375" style="59" bestFit="1" customWidth="1"/>
    <col min="10994" max="10994" width="12.140625" style="59" customWidth="1"/>
    <col min="10995" max="10997" width="0" style="59" hidden="1" customWidth="1"/>
    <col min="10998" max="10998" width="15.140625" style="59" customWidth="1"/>
    <col min="10999" max="10999" width="12.28515625" style="59" customWidth="1"/>
    <col min="11000" max="11000" width="14.140625" style="59" customWidth="1"/>
    <col min="11001" max="11001" width="12.7109375" style="59" customWidth="1"/>
    <col min="11002" max="11002" width="12" style="59" bestFit="1" customWidth="1"/>
    <col min="11003" max="11003" width="15.5703125" style="59" customWidth="1"/>
    <col min="11004" max="11004" width="14.7109375" style="59" customWidth="1"/>
    <col min="11005" max="11005" width="13.5703125" style="59" customWidth="1"/>
    <col min="11006" max="11006" width="12.85546875" style="59" customWidth="1"/>
    <col min="11007" max="11007" width="13.7109375" style="59" bestFit="1" customWidth="1"/>
    <col min="11008" max="11008" width="12.28515625" style="59" customWidth="1"/>
    <col min="11009" max="11009" width="12.140625" style="59" customWidth="1"/>
    <col min="11010" max="11010" width="13.85546875" style="59" bestFit="1" customWidth="1"/>
    <col min="11011" max="11011" width="14.5703125" style="59" customWidth="1"/>
    <col min="11012" max="11012" width="18" style="59" customWidth="1"/>
    <col min="11013" max="11013" width="13.28515625" style="59" customWidth="1"/>
    <col min="11014" max="11014" width="6.85546875" style="59" customWidth="1"/>
    <col min="11015" max="11015" width="10.5703125" style="59" customWidth="1"/>
    <col min="11016" max="11016" width="17.140625" style="59" customWidth="1"/>
    <col min="11017" max="11020" width="9.140625" style="59"/>
    <col min="11021" max="11021" width="11.5703125" style="59" customWidth="1"/>
    <col min="11022" max="11022" width="11.7109375" style="59" customWidth="1"/>
    <col min="11023" max="11023" width="9.140625" style="59"/>
    <col min="11024" max="11024" width="10.85546875" style="59" customWidth="1"/>
    <col min="11025" max="11025" width="9.140625" style="59"/>
    <col min="11026" max="11027" width="11.42578125" style="59" customWidth="1"/>
    <col min="11028" max="11033" width="9.140625" style="59"/>
    <col min="11034" max="11034" width="13.42578125" style="59" bestFit="1" customWidth="1"/>
    <col min="11035" max="11035" width="21" style="59" bestFit="1" customWidth="1"/>
    <col min="11036" max="11036" width="14.5703125" style="59" customWidth="1"/>
    <col min="11037" max="11037" width="15" style="59" bestFit="1" customWidth="1"/>
    <col min="11038" max="11038" width="9.140625" style="59"/>
    <col min="11039" max="11039" width="16" style="59" customWidth="1"/>
    <col min="11040" max="11041" width="11.42578125" style="59" customWidth="1"/>
    <col min="11042" max="11044" width="9.28515625" style="59" bestFit="1" customWidth="1"/>
    <col min="11045" max="11045" width="11.140625" style="59" bestFit="1" customWidth="1"/>
    <col min="11046" max="11241" width="9.140625" style="59"/>
    <col min="11242" max="11242" width="5.28515625" style="59" customWidth="1"/>
    <col min="11243" max="11243" width="11.140625" style="59" bestFit="1" customWidth="1"/>
    <col min="11244" max="11244" width="8" style="59" bestFit="1" customWidth="1"/>
    <col min="11245" max="11245" width="32.7109375" style="59" customWidth="1"/>
    <col min="11246" max="11246" width="13.140625" style="59" bestFit="1" customWidth="1"/>
    <col min="11247" max="11247" width="12.5703125" style="59" bestFit="1" customWidth="1"/>
    <col min="11248" max="11248" width="6.28515625" style="59" customWidth="1"/>
    <col min="11249" max="11249" width="26.7109375" style="59" bestFit="1" customWidth="1"/>
    <col min="11250" max="11250" width="12.140625" style="59" customWidth="1"/>
    <col min="11251" max="11253" width="0" style="59" hidden="1" customWidth="1"/>
    <col min="11254" max="11254" width="15.140625" style="59" customWidth="1"/>
    <col min="11255" max="11255" width="12.28515625" style="59" customWidth="1"/>
    <col min="11256" max="11256" width="14.140625" style="59" customWidth="1"/>
    <col min="11257" max="11257" width="12.7109375" style="59" customWidth="1"/>
    <col min="11258" max="11258" width="12" style="59" bestFit="1" customWidth="1"/>
    <col min="11259" max="11259" width="15.5703125" style="59" customWidth="1"/>
    <col min="11260" max="11260" width="14.7109375" style="59" customWidth="1"/>
    <col min="11261" max="11261" width="13.5703125" style="59" customWidth="1"/>
    <col min="11262" max="11262" width="12.85546875" style="59" customWidth="1"/>
    <col min="11263" max="11263" width="13.7109375" style="59" bestFit="1" customWidth="1"/>
    <col min="11264" max="11264" width="12.28515625" style="59" customWidth="1"/>
    <col min="11265" max="11265" width="12.140625" style="59" customWidth="1"/>
    <col min="11266" max="11266" width="13.85546875" style="59" bestFit="1" customWidth="1"/>
    <col min="11267" max="11267" width="14.5703125" style="59" customWidth="1"/>
    <col min="11268" max="11268" width="18" style="59" customWidth="1"/>
    <col min="11269" max="11269" width="13.28515625" style="59" customWidth="1"/>
    <col min="11270" max="11270" width="6.85546875" style="59" customWidth="1"/>
    <col min="11271" max="11271" width="10.5703125" style="59" customWidth="1"/>
    <col min="11272" max="11272" width="17.140625" style="59" customWidth="1"/>
    <col min="11273" max="11276" width="9.140625" style="59"/>
    <col min="11277" max="11277" width="11.5703125" style="59" customWidth="1"/>
    <col min="11278" max="11278" width="11.7109375" style="59" customWidth="1"/>
    <col min="11279" max="11279" width="9.140625" style="59"/>
    <col min="11280" max="11280" width="10.85546875" style="59" customWidth="1"/>
    <col min="11281" max="11281" width="9.140625" style="59"/>
    <col min="11282" max="11283" width="11.42578125" style="59" customWidth="1"/>
    <col min="11284" max="11289" width="9.140625" style="59"/>
    <col min="11290" max="11290" width="13.42578125" style="59" bestFit="1" customWidth="1"/>
    <col min="11291" max="11291" width="21" style="59" bestFit="1" customWidth="1"/>
    <col min="11292" max="11292" width="14.5703125" style="59" customWidth="1"/>
    <col min="11293" max="11293" width="15" style="59" bestFit="1" customWidth="1"/>
    <col min="11294" max="11294" width="9.140625" style="59"/>
    <col min="11295" max="11295" width="16" style="59" customWidth="1"/>
    <col min="11296" max="11297" width="11.42578125" style="59" customWidth="1"/>
    <col min="11298" max="11300" width="9.28515625" style="59" bestFit="1" customWidth="1"/>
    <col min="11301" max="11301" width="11.140625" style="59" bestFit="1" customWidth="1"/>
    <col min="11302" max="11497" width="9.140625" style="59"/>
    <col min="11498" max="11498" width="5.28515625" style="59" customWidth="1"/>
    <col min="11499" max="11499" width="11.140625" style="59" bestFit="1" customWidth="1"/>
    <col min="11500" max="11500" width="8" style="59" bestFit="1" customWidth="1"/>
    <col min="11501" max="11501" width="32.7109375" style="59" customWidth="1"/>
    <col min="11502" max="11502" width="13.140625" style="59" bestFit="1" customWidth="1"/>
    <col min="11503" max="11503" width="12.5703125" style="59" bestFit="1" customWidth="1"/>
    <col min="11504" max="11504" width="6.28515625" style="59" customWidth="1"/>
    <col min="11505" max="11505" width="26.7109375" style="59" bestFit="1" customWidth="1"/>
    <col min="11506" max="11506" width="12.140625" style="59" customWidth="1"/>
    <col min="11507" max="11509" width="0" style="59" hidden="1" customWidth="1"/>
    <col min="11510" max="11510" width="15.140625" style="59" customWidth="1"/>
    <col min="11511" max="11511" width="12.28515625" style="59" customWidth="1"/>
    <col min="11512" max="11512" width="14.140625" style="59" customWidth="1"/>
    <col min="11513" max="11513" width="12.7109375" style="59" customWidth="1"/>
    <col min="11514" max="11514" width="12" style="59" bestFit="1" customWidth="1"/>
    <col min="11515" max="11515" width="15.5703125" style="59" customWidth="1"/>
    <col min="11516" max="11516" width="14.7109375" style="59" customWidth="1"/>
    <col min="11517" max="11517" width="13.5703125" style="59" customWidth="1"/>
    <col min="11518" max="11518" width="12.85546875" style="59" customWidth="1"/>
    <col min="11519" max="11519" width="13.7109375" style="59" bestFit="1" customWidth="1"/>
    <col min="11520" max="11520" width="12.28515625" style="59" customWidth="1"/>
    <col min="11521" max="11521" width="12.140625" style="59" customWidth="1"/>
    <col min="11522" max="11522" width="13.85546875" style="59" bestFit="1" customWidth="1"/>
    <col min="11523" max="11523" width="14.5703125" style="59" customWidth="1"/>
    <col min="11524" max="11524" width="18" style="59" customWidth="1"/>
    <col min="11525" max="11525" width="13.28515625" style="59" customWidth="1"/>
    <col min="11526" max="11526" width="6.85546875" style="59" customWidth="1"/>
    <col min="11527" max="11527" width="10.5703125" style="59" customWidth="1"/>
    <col min="11528" max="11528" width="17.140625" style="59" customWidth="1"/>
    <col min="11529" max="11532" width="9.140625" style="59"/>
    <col min="11533" max="11533" width="11.5703125" style="59" customWidth="1"/>
    <col min="11534" max="11534" width="11.7109375" style="59" customWidth="1"/>
    <col min="11535" max="11535" width="9.140625" style="59"/>
    <col min="11536" max="11536" width="10.85546875" style="59" customWidth="1"/>
    <col min="11537" max="11537" width="9.140625" style="59"/>
    <col min="11538" max="11539" width="11.42578125" style="59" customWidth="1"/>
    <col min="11540" max="11545" width="9.140625" style="59"/>
    <col min="11546" max="11546" width="13.42578125" style="59" bestFit="1" customWidth="1"/>
    <col min="11547" max="11547" width="21" style="59" bestFit="1" customWidth="1"/>
    <col min="11548" max="11548" width="14.5703125" style="59" customWidth="1"/>
    <col min="11549" max="11549" width="15" style="59" bestFit="1" customWidth="1"/>
    <col min="11550" max="11550" width="9.140625" style="59"/>
    <col min="11551" max="11551" width="16" style="59" customWidth="1"/>
    <col min="11552" max="11553" width="11.42578125" style="59" customWidth="1"/>
    <col min="11554" max="11556" width="9.28515625" style="59" bestFit="1" customWidth="1"/>
    <col min="11557" max="11557" width="11.140625" style="59" bestFit="1" customWidth="1"/>
    <col min="11558" max="11753" width="9.140625" style="59"/>
    <col min="11754" max="11754" width="5.28515625" style="59" customWidth="1"/>
    <col min="11755" max="11755" width="11.140625" style="59" bestFit="1" customWidth="1"/>
    <col min="11756" max="11756" width="8" style="59" bestFit="1" customWidth="1"/>
    <col min="11757" max="11757" width="32.7109375" style="59" customWidth="1"/>
    <col min="11758" max="11758" width="13.140625" style="59" bestFit="1" customWidth="1"/>
    <col min="11759" max="11759" width="12.5703125" style="59" bestFit="1" customWidth="1"/>
    <col min="11760" max="11760" width="6.28515625" style="59" customWidth="1"/>
    <col min="11761" max="11761" width="26.7109375" style="59" bestFit="1" customWidth="1"/>
    <col min="11762" max="11762" width="12.140625" style="59" customWidth="1"/>
    <col min="11763" max="11765" width="0" style="59" hidden="1" customWidth="1"/>
    <col min="11766" max="11766" width="15.140625" style="59" customWidth="1"/>
    <col min="11767" max="11767" width="12.28515625" style="59" customWidth="1"/>
    <col min="11768" max="11768" width="14.140625" style="59" customWidth="1"/>
    <col min="11769" max="11769" width="12.7109375" style="59" customWidth="1"/>
    <col min="11770" max="11770" width="12" style="59" bestFit="1" customWidth="1"/>
    <col min="11771" max="11771" width="15.5703125" style="59" customWidth="1"/>
    <col min="11772" max="11772" width="14.7109375" style="59" customWidth="1"/>
    <col min="11773" max="11773" width="13.5703125" style="59" customWidth="1"/>
    <col min="11774" max="11774" width="12.85546875" style="59" customWidth="1"/>
    <col min="11775" max="11775" width="13.7109375" style="59" bestFit="1" customWidth="1"/>
    <col min="11776" max="11776" width="12.28515625" style="59" customWidth="1"/>
    <col min="11777" max="11777" width="12.140625" style="59" customWidth="1"/>
    <col min="11778" max="11778" width="13.85546875" style="59" bestFit="1" customWidth="1"/>
    <col min="11779" max="11779" width="14.5703125" style="59" customWidth="1"/>
    <col min="11780" max="11780" width="18" style="59" customWidth="1"/>
    <col min="11781" max="11781" width="13.28515625" style="59" customWidth="1"/>
    <col min="11782" max="11782" width="6.85546875" style="59" customWidth="1"/>
    <col min="11783" max="11783" width="10.5703125" style="59" customWidth="1"/>
    <col min="11784" max="11784" width="17.140625" style="59" customWidth="1"/>
    <col min="11785" max="11788" width="9.140625" style="59"/>
    <col min="11789" max="11789" width="11.5703125" style="59" customWidth="1"/>
    <col min="11790" max="11790" width="11.7109375" style="59" customWidth="1"/>
    <col min="11791" max="11791" width="9.140625" style="59"/>
    <col min="11792" max="11792" width="10.85546875" style="59" customWidth="1"/>
    <col min="11793" max="11793" width="9.140625" style="59"/>
    <col min="11794" max="11795" width="11.42578125" style="59" customWidth="1"/>
    <col min="11796" max="11801" width="9.140625" style="59"/>
    <col min="11802" max="11802" width="13.42578125" style="59" bestFit="1" customWidth="1"/>
    <col min="11803" max="11803" width="21" style="59" bestFit="1" customWidth="1"/>
    <col min="11804" max="11804" width="14.5703125" style="59" customWidth="1"/>
    <col min="11805" max="11805" width="15" style="59" bestFit="1" customWidth="1"/>
    <col min="11806" max="11806" width="9.140625" style="59"/>
    <col min="11807" max="11807" width="16" style="59" customWidth="1"/>
    <col min="11808" max="11809" width="11.42578125" style="59" customWidth="1"/>
    <col min="11810" max="11812" width="9.28515625" style="59" bestFit="1" customWidth="1"/>
    <col min="11813" max="11813" width="11.140625" style="59" bestFit="1" customWidth="1"/>
    <col min="11814" max="12009" width="9.140625" style="59"/>
    <col min="12010" max="12010" width="5.28515625" style="59" customWidth="1"/>
    <col min="12011" max="12011" width="11.140625" style="59" bestFit="1" customWidth="1"/>
    <col min="12012" max="12012" width="8" style="59" bestFit="1" customWidth="1"/>
    <col min="12013" max="12013" width="32.7109375" style="59" customWidth="1"/>
    <col min="12014" max="12014" width="13.140625" style="59" bestFit="1" customWidth="1"/>
    <col min="12015" max="12015" width="12.5703125" style="59" bestFit="1" customWidth="1"/>
    <col min="12016" max="12016" width="6.28515625" style="59" customWidth="1"/>
    <col min="12017" max="12017" width="26.7109375" style="59" bestFit="1" customWidth="1"/>
    <col min="12018" max="12018" width="12.140625" style="59" customWidth="1"/>
    <col min="12019" max="12021" width="0" style="59" hidden="1" customWidth="1"/>
    <col min="12022" max="12022" width="15.140625" style="59" customWidth="1"/>
    <col min="12023" max="12023" width="12.28515625" style="59" customWidth="1"/>
    <col min="12024" max="12024" width="14.140625" style="59" customWidth="1"/>
    <col min="12025" max="12025" width="12.7109375" style="59" customWidth="1"/>
    <col min="12026" max="12026" width="12" style="59" bestFit="1" customWidth="1"/>
    <col min="12027" max="12027" width="15.5703125" style="59" customWidth="1"/>
    <col min="12028" max="12028" width="14.7109375" style="59" customWidth="1"/>
    <col min="12029" max="12029" width="13.5703125" style="59" customWidth="1"/>
    <col min="12030" max="12030" width="12.85546875" style="59" customWidth="1"/>
    <col min="12031" max="12031" width="13.7109375" style="59" bestFit="1" customWidth="1"/>
    <col min="12032" max="12032" width="12.28515625" style="59" customWidth="1"/>
    <col min="12033" max="12033" width="12.140625" style="59" customWidth="1"/>
    <col min="12034" max="12034" width="13.85546875" style="59" bestFit="1" customWidth="1"/>
    <col min="12035" max="12035" width="14.5703125" style="59" customWidth="1"/>
    <col min="12036" max="12036" width="18" style="59" customWidth="1"/>
    <col min="12037" max="12037" width="13.28515625" style="59" customWidth="1"/>
    <col min="12038" max="12038" width="6.85546875" style="59" customWidth="1"/>
    <col min="12039" max="12039" width="10.5703125" style="59" customWidth="1"/>
    <col min="12040" max="12040" width="17.140625" style="59" customWidth="1"/>
    <col min="12041" max="12044" width="9.140625" style="59"/>
    <col min="12045" max="12045" width="11.5703125" style="59" customWidth="1"/>
    <col min="12046" max="12046" width="11.7109375" style="59" customWidth="1"/>
    <col min="12047" max="12047" width="9.140625" style="59"/>
    <col min="12048" max="12048" width="10.85546875" style="59" customWidth="1"/>
    <col min="12049" max="12049" width="9.140625" style="59"/>
    <col min="12050" max="12051" width="11.42578125" style="59" customWidth="1"/>
    <col min="12052" max="12057" width="9.140625" style="59"/>
    <col min="12058" max="12058" width="13.42578125" style="59" bestFit="1" customWidth="1"/>
    <col min="12059" max="12059" width="21" style="59" bestFit="1" customWidth="1"/>
    <col min="12060" max="12060" width="14.5703125" style="59" customWidth="1"/>
    <col min="12061" max="12061" width="15" style="59" bestFit="1" customWidth="1"/>
    <col min="12062" max="12062" width="9.140625" style="59"/>
    <col min="12063" max="12063" width="16" style="59" customWidth="1"/>
    <col min="12064" max="12065" width="11.42578125" style="59" customWidth="1"/>
    <col min="12066" max="12068" width="9.28515625" style="59" bestFit="1" customWidth="1"/>
    <col min="12069" max="12069" width="11.140625" style="59" bestFit="1" customWidth="1"/>
    <col min="12070" max="12265" width="9.140625" style="59"/>
    <col min="12266" max="12266" width="5.28515625" style="59" customWidth="1"/>
    <col min="12267" max="12267" width="11.140625" style="59" bestFit="1" customWidth="1"/>
    <col min="12268" max="12268" width="8" style="59" bestFit="1" customWidth="1"/>
    <col min="12269" max="12269" width="32.7109375" style="59" customWidth="1"/>
    <col min="12270" max="12270" width="13.140625" style="59" bestFit="1" customWidth="1"/>
    <col min="12271" max="12271" width="12.5703125" style="59" bestFit="1" customWidth="1"/>
    <col min="12272" max="12272" width="6.28515625" style="59" customWidth="1"/>
    <col min="12273" max="12273" width="26.7109375" style="59" bestFit="1" customWidth="1"/>
    <col min="12274" max="12274" width="12.140625" style="59" customWidth="1"/>
    <col min="12275" max="12277" width="0" style="59" hidden="1" customWidth="1"/>
    <col min="12278" max="12278" width="15.140625" style="59" customWidth="1"/>
    <col min="12279" max="12279" width="12.28515625" style="59" customWidth="1"/>
    <col min="12280" max="12280" width="14.140625" style="59" customWidth="1"/>
    <col min="12281" max="12281" width="12.7109375" style="59" customWidth="1"/>
    <col min="12282" max="12282" width="12" style="59" bestFit="1" customWidth="1"/>
    <col min="12283" max="12283" width="15.5703125" style="59" customWidth="1"/>
    <col min="12284" max="12284" width="14.7109375" style="59" customWidth="1"/>
    <col min="12285" max="12285" width="13.5703125" style="59" customWidth="1"/>
    <col min="12286" max="12286" width="12.85546875" style="59" customWidth="1"/>
    <col min="12287" max="12287" width="13.7109375" style="59" bestFit="1" customWidth="1"/>
    <col min="12288" max="12288" width="12.28515625" style="59" customWidth="1"/>
    <col min="12289" max="12289" width="12.140625" style="59" customWidth="1"/>
    <col min="12290" max="12290" width="13.85546875" style="59" bestFit="1" customWidth="1"/>
    <col min="12291" max="12291" width="14.5703125" style="59" customWidth="1"/>
    <col min="12292" max="12292" width="18" style="59" customWidth="1"/>
    <col min="12293" max="12293" width="13.28515625" style="59" customWidth="1"/>
    <col min="12294" max="12294" width="6.85546875" style="59" customWidth="1"/>
    <col min="12295" max="12295" width="10.5703125" style="59" customWidth="1"/>
    <col min="12296" max="12296" width="17.140625" style="59" customWidth="1"/>
    <col min="12297" max="12300" width="9.140625" style="59"/>
    <col min="12301" max="12301" width="11.5703125" style="59" customWidth="1"/>
    <col min="12302" max="12302" width="11.7109375" style="59" customWidth="1"/>
    <col min="12303" max="12303" width="9.140625" style="59"/>
    <col min="12304" max="12304" width="10.85546875" style="59" customWidth="1"/>
    <col min="12305" max="12305" width="9.140625" style="59"/>
    <col min="12306" max="12307" width="11.42578125" style="59" customWidth="1"/>
    <col min="12308" max="12313" width="9.140625" style="59"/>
    <col min="12314" max="12314" width="13.42578125" style="59" bestFit="1" customWidth="1"/>
    <col min="12315" max="12315" width="21" style="59" bestFit="1" customWidth="1"/>
    <col min="12316" max="12316" width="14.5703125" style="59" customWidth="1"/>
    <col min="12317" max="12317" width="15" style="59" bestFit="1" customWidth="1"/>
    <col min="12318" max="12318" width="9.140625" style="59"/>
    <col min="12319" max="12319" width="16" style="59" customWidth="1"/>
    <col min="12320" max="12321" width="11.42578125" style="59" customWidth="1"/>
    <col min="12322" max="12324" width="9.28515625" style="59" bestFit="1" customWidth="1"/>
    <col min="12325" max="12325" width="11.140625" style="59" bestFit="1" customWidth="1"/>
    <col min="12326" max="12521" width="9.140625" style="59"/>
    <col min="12522" max="12522" width="5.28515625" style="59" customWidth="1"/>
    <col min="12523" max="12523" width="11.140625" style="59" bestFit="1" customWidth="1"/>
    <col min="12524" max="12524" width="8" style="59" bestFit="1" customWidth="1"/>
    <col min="12525" max="12525" width="32.7109375" style="59" customWidth="1"/>
    <col min="12526" max="12526" width="13.140625" style="59" bestFit="1" customWidth="1"/>
    <col min="12527" max="12527" width="12.5703125" style="59" bestFit="1" customWidth="1"/>
    <col min="12528" max="12528" width="6.28515625" style="59" customWidth="1"/>
    <col min="12529" max="12529" width="26.7109375" style="59" bestFit="1" customWidth="1"/>
    <col min="12530" max="12530" width="12.140625" style="59" customWidth="1"/>
    <col min="12531" max="12533" width="0" style="59" hidden="1" customWidth="1"/>
    <col min="12534" max="12534" width="15.140625" style="59" customWidth="1"/>
    <col min="12535" max="12535" width="12.28515625" style="59" customWidth="1"/>
    <col min="12536" max="12536" width="14.140625" style="59" customWidth="1"/>
    <col min="12537" max="12537" width="12.7109375" style="59" customWidth="1"/>
    <col min="12538" max="12538" width="12" style="59" bestFit="1" customWidth="1"/>
    <col min="12539" max="12539" width="15.5703125" style="59" customWidth="1"/>
    <col min="12540" max="12540" width="14.7109375" style="59" customWidth="1"/>
    <col min="12541" max="12541" width="13.5703125" style="59" customWidth="1"/>
    <col min="12542" max="12542" width="12.85546875" style="59" customWidth="1"/>
    <col min="12543" max="12543" width="13.7109375" style="59" bestFit="1" customWidth="1"/>
    <col min="12544" max="12544" width="12.28515625" style="59" customWidth="1"/>
    <col min="12545" max="12545" width="12.140625" style="59" customWidth="1"/>
    <col min="12546" max="12546" width="13.85546875" style="59" bestFit="1" customWidth="1"/>
    <col min="12547" max="12547" width="14.5703125" style="59" customWidth="1"/>
    <col min="12548" max="12548" width="18" style="59" customWidth="1"/>
    <col min="12549" max="12549" width="13.28515625" style="59" customWidth="1"/>
    <col min="12550" max="12550" width="6.85546875" style="59" customWidth="1"/>
    <col min="12551" max="12551" width="10.5703125" style="59" customWidth="1"/>
    <col min="12552" max="12552" width="17.140625" style="59" customWidth="1"/>
    <col min="12553" max="12556" width="9.140625" style="59"/>
    <col min="12557" max="12557" width="11.5703125" style="59" customWidth="1"/>
    <col min="12558" max="12558" width="11.7109375" style="59" customWidth="1"/>
    <col min="12559" max="12559" width="9.140625" style="59"/>
    <col min="12560" max="12560" width="10.85546875" style="59" customWidth="1"/>
    <col min="12561" max="12561" width="9.140625" style="59"/>
    <col min="12562" max="12563" width="11.42578125" style="59" customWidth="1"/>
    <col min="12564" max="12569" width="9.140625" style="59"/>
    <col min="12570" max="12570" width="13.42578125" style="59" bestFit="1" customWidth="1"/>
    <col min="12571" max="12571" width="21" style="59" bestFit="1" customWidth="1"/>
    <col min="12572" max="12572" width="14.5703125" style="59" customWidth="1"/>
    <col min="12573" max="12573" width="15" style="59" bestFit="1" customWidth="1"/>
    <col min="12574" max="12574" width="9.140625" style="59"/>
    <col min="12575" max="12575" width="16" style="59" customWidth="1"/>
    <col min="12576" max="12577" width="11.42578125" style="59" customWidth="1"/>
    <col min="12578" max="12580" width="9.28515625" style="59" bestFit="1" customWidth="1"/>
    <col min="12581" max="12581" width="11.140625" style="59" bestFit="1" customWidth="1"/>
    <col min="12582" max="12777" width="9.140625" style="59"/>
    <col min="12778" max="12778" width="5.28515625" style="59" customWidth="1"/>
    <col min="12779" max="12779" width="11.140625" style="59" bestFit="1" customWidth="1"/>
    <col min="12780" max="12780" width="8" style="59" bestFit="1" customWidth="1"/>
    <col min="12781" max="12781" width="32.7109375" style="59" customWidth="1"/>
    <col min="12782" max="12782" width="13.140625" style="59" bestFit="1" customWidth="1"/>
    <col min="12783" max="12783" width="12.5703125" style="59" bestFit="1" customWidth="1"/>
    <col min="12784" max="12784" width="6.28515625" style="59" customWidth="1"/>
    <col min="12785" max="12785" width="26.7109375" style="59" bestFit="1" customWidth="1"/>
    <col min="12786" max="12786" width="12.140625" style="59" customWidth="1"/>
    <col min="12787" max="12789" width="0" style="59" hidden="1" customWidth="1"/>
    <col min="12790" max="12790" width="15.140625" style="59" customWidth="1"/>
    <col min="12791" max="12791" width="12.28515625" style="59" customWidth="1"/>
    <col min="12792" max="12792" width="14.140625" style="59" customWidth="1"/>
    <col min="12793" max="12793" width="12.7109375" style="59" customWidth="1"/>
    <col min="12794" max="12794" width="12" style="59" bestFit="1" customWidth="1"/>
    <col min="12795" max="12795" width="15.5703125" style="59" customWidth="1"/>
    <col min="12796" max="12796" width="14.7109375" style="59" customWidth="1"/>
    <col min="12797" max="12797" width="13.5703125" style="59" customWidth="1"/>
    <col min="12798" max="12798" width="12.85546875" style="59" customWidth="1"/>
    <col min="12799" max="12799" width="13.7109375" style="59" bestFit="1" customWidth="1"/>
    <col min="12800" max="12800" width="12.28515625" style="59" customWidth="1"/>
    <col min="12801" max="12801" width="12.140625" style="59" customWidth="1"/>
    <col min="12802" max="12802" width="13.85546875" style="59" bestFit="1" customWidth="1"/>
    <col min="12803" max="12803" width="14.5703125" style="59" customWidth="1"/>
    <col min="12804" max="12804" width="18" style="59" customWidth="1"/>
    <col min="12805" max="12805" width="13.28515625" style="59" customWidth="1"/>
    <col min="12806" max="12806" width="6.85546875" style="59" customWidth="1"/>
    <col min="12807" max="12807" width="10.5703125" style="59" customWidth="1"/>
    <col min="12808" max="12808" width="17.140625" style="59" customWidth="1"/>
    <col min="12809" max="12812" width="9.140625" style="59"/>
    <col min="12813" max="12813" width="11.5703125" style="59" customWidth="1"/>
    <col min="12814" max="12814" width="11.7109375" style="59" customWidth="1"/>
    <col min="12815" max="12815" width="9.140625" style="59"/>
    <col min="12816" max="12816" width="10.85546875" style="59" customWidth="1"/>
    <col min="12817" max="12817" width="9.140625" style="59"/>
    <col min="12818" max="12819" width="11.42578125" style="59" customWidth="1"/>
    <col min="12820" max="12825" width="9.140625" style="59"/>
    <col min="12826" max="12826" width="13.42578125" style="59" bestFit="1" customWidth="1"/>
    <col min="12827" max="12827" width="21" style="59" bestFit="1" customWidth="1"/>
    <col min="12828" max="12828" width="14.5703125" style="59" customWidth="1"/>
    <col min="12829" max="12829" width="15" style="59" bestFit="1" customWidth="1"/>
    <col min="12830" max="12830" width="9.140625" style="59"/>
    <col min="12831" max="12831" width="16" style="59" customWidth="1"/>
    <col min="12832" max="12833" width="11.42578125" style="59" customWidth="1"/>
    <col min="12834" max="12836" width="9.28515625" style="59" bestFit="1" customWidth="1"/>
    <col min="12837" max="12837" width="11.140625" style="59" bestFit="1" customWidth="1"/>
    <col min="12838" max="13033" width="9.140625" style="59"/>
    <col min="13034" max="13034" width="5.28515625" style="59" customWidth="1"/>
    <col min="13035" max="13035" width="11.140625" style="59" bestFit="1" customWidth="1"/>
    <col min="13036" max="13036" width="8" style="59" bestFit="1" customWidth="1"/>
    <col min="13037" max="13037" width="32.7109375" style="59" customWidth="1"/>
    <col min="13038" max="13038" width="13.140625" style="59" bestFit="1" customWidth="1"/>
    <col min="13039" max="13039" width="12.5703125" style="59" bestFit="1" customWidth="1"/>
    <col min="13040" max="13040" width="6.28515625" style="59" customWidth="1"/>
    <col min="13041" max="13041" width="26.7109375" style="59" bestFit="1" customWidth="1"/>
    <col min="13042" max="13042" width="12.140625" style="59" customWidth="1"/>
    <col min="13043" max="13045" width="0" style="59" hidden="1" customWidth="1"/>
    <col min="13046" max="13046" width="15.140625" style="59" customWidth="1"/>
    <col min="13047" max="13047" width="12.28515625" style="59" customWidth="1"/>
    <col min="13048" max="13048" width="14.140625" style="59" customWidth="1"/>
    <col min="13049" max="13049" width="12.7109375" style="59" customWidth="1"/>
    <col min="13050" max="13050" width="12" style="59" bestFit="1" customWidth="1"/>
    <col min="13051" max="13051" width="15.5703125" style="59" customWidth="1"/>
    <col min="13052" max="13052" width="14.7109375" style="59" customWidth="1"/>
    <col min="13053" max="13053" width="13.5703125" style="59" customWidth="1"/>
    <col min="13054" max="13054" width="12.85546875" style="59" customWidth="1"/>
    <col min="13055" max="13055" width="13.7109375" style="59" bestFit="1" customWidth="1"/>
    <col min="13056" max="13056" width="12.28515625" style="59" customWidth="1"/>
    <col min="13057" max="13057" width="12.140625" style="59" customWidth="1"/>
    <col min="13058" max="13058" width="13.85546875" style="59" bestFit="1" customWidth="1"/>
    <col min="13059" max="13059" width="14.5703125" style="59" customWidth="1"/>
    <col min="13060" max="13060" width="18" style="59" customWidth="1"/>
    <col min="13061" max="13061" width="13.28515625" style="59" customWidth="1"/>
    <col min="13062" max="13062" width="6.85546875" style="59" customWidth="1"/>
    <col min="13063" max="13063" width="10.5703125" style="59" customWidth="1"/>
    <col min="13064" max="13064" width="17.140625" style="59" customWidth="1"/>
    <col min="13065" max="13068" width="9.140625" style="59"/>
    <col min="13069" max="13069" width="11.5703125" style="59" customWidth="1"/>
    <col min="13070" max="13070" width="11.7109375" style="59" customWidth="1"/>
    <col min="13071" max="13071" width="9.140625" style="59"/>
    <col min="13072" max="13072" width="10.85546875" style="59" customWidth="1"/>
    <col min="13073" max="13073" width="9.140625" style="59"/>
    <col min="13074" max="13075" width="11.42578125" style="59" customWidth="1"/>
    <col min="13076" max="13081" width="9.140625" style="59"/>
    <col min="13082" max="13082" width="13.42578125" style="59" bestFit="1" customWidth="1"/>
    <col min="13083" max="13083" width="21" style="59" bestFit="1" customWidth="1"/>
    <col min="13084" max="13084" width="14.5703125" style="59" customWidth="1"/>
    <col min="13085" max="13085" width="15" style="59" bestFit="1" customWidth="1"/>
    <col min="13086" max="13086" width="9.140625" style="59"/>
    <col min="13087" max="13087" width="16" style="59" customWidth="1"/>
    <col min="13088" max="13089" width="11.42578125" style="59" customWidth="1"/>
    <col min="13090" max="13092" width="9.28515625" style="59" bestFit="1" customWidth="1"/>
    <col min="13093" max="13093" width="11.140625" style="59" bestFit="1" customWidth="1"/>
    <col min="13094" max="13289" width="9.140625" style="59"/>
    <col min="13290" max="13290" width="5.28515625" style="59" customWidth="1"/>
    <col min="13291" max="13291" width="11.140625" style="59" bestFit="1" customWidth="1"/>
    <col min="13292" max="13292" width="8" style="59" bestFit="1" customWidth="1"/>
    <col min="13293" max="13293" width="32.7109375" style="59" customWidth="1"/>
    <col min="13294" max="13294" width="13.140625" style="59" bestFit="1" customWidth="1"/>
    <col min="13295" max="13295" width="12.5703125" style="59" bestFit="1" customWidth="1"/>
    <col min="13296" max="13296" width="6.28515625" style="59" customWidth="1"/>
    <col min="13297" max="13297" width="26.7109375" style="59" bestFit="1" customWidth="1"/>
    <col min="13298" max="13298" width="12.140625" style="59" customWidth="1"/>
    <col min="13299" max="13301" width="0" style="59" hidden="1" customWidth="1"/>
    <col min="13302" max="13302" width="15.140625" style="59" customWidth="1"/>
    <col min="13303" max="13303" width="12.28515625" style="59" customWidth="1"/>
    <col min="13304" max="13304" width="14.140625" style="59" customWidth="1"/>
    <col min="13305" max="13305" width="12.7109375" style="59" customWidth="1"/>
    <col min="13306" max="13306" width="12" style="59" bestFit="1" customWidth="1"/>
    <col min="13307" max="13307" width="15.5703125" style="59" customWidth="1"/>
    <col min="13308" max="13308" width="14.7109375" style="59" customWidth="1"/>
    <col min="13309" max="13309" width="13.5703125" style="59" customWidth="1"/>
    <col min="13310" max="13310" width="12.85546875" style="59" customWidth="1"/>
    <col min="13311" max="13311" width="13.7109375" style="59" bestFit="1" customWidth="1"/>
    <col min="13312" max="13312" width="12.28515625" style="59" customWidth="1"/>
    <col min="13313" max="13313" width="12.140625" style="59" customWidth="1"/>
    <col min="13314" max="13314" width="13.85546875" style="59" bestFit="1" customWidth="1"/>
    <col min="13315" max="13315" width="14.5703125" style="59" customWidth="1"/>
    <col min="13316" max="13316" width="18" style="59" customWidth="1"/>
    <col min="13317" max="13317" width="13.28515625" style="59" customWidth="1"/>
    <col min="13318" max="13318" width="6.85546875" style="59" customWidth="1"/>
    <col min="13319" max="13319" width="10.5703125" style="59" customWidth="1"/>
    <col min="13320" max="13320" width="17.140625" style="59" customWidth="1"/>
    <col min="13321" max="13324" width="9.140625" style="59"/>
    <col min="13325" max="13325" width="11.5703125" style="59" customWidth="1"/>
    <col min="13326" max="13326" width="11.7109375" style="59" customWidth="1"/>
    <col min="13327" max="13327" width="9.140625" style="59"/>
    <col min="13328" max="13328" width="10.85546875" style="59" customWidth="1"/>
    <col min="13329" max="13329" width="9.140625" style="59"/>
    <col min="13330" max="13331" width="11.42578125" style="59" customWidth="1"/>
    <col min="13332" max="13337" width="9.140625" style="59"/>
    <col min="13338" max="13338" width="13.42578125" style="59" bestFit="1" customWidth="1"/>
    <col min="13339" max="13339" width="21" style="59" bestFit="1" customWidth="1"/>
    <col min="13340" max="13340" width="14.5703125" style="59" customWidth="1"/>
    <col min="13341" max="13341" width="15" style="59" bestFit="1" customWidth="1"/>
    <col min="13342" max="13342" width="9.140625" style="59"/>
    <col min="13343" max="13343" width="16" style="59" customWidth="1"/>
    <col min="13344" max="13345" width="11.42578125" style="59" customWidth="1"/>
    <col min="13346" max="13348" width="9.28515625" style="59" bestFit="1" customWidth="1"/>
    <col min="13349" max="13349" width="11.140625" style="59" bestFit="1" customWidth="1"/>
    <col min="13350" max="13545" width="9.140625" style="59"/>
    <col min="13546" max="13546" width="5.28515625" style="59" customWidth="1"/>
    <col min="13547" max="13547" width="11.140625" style="59" bestFit="1" customWidth="1"/>
    <col min="13548" max="13548" width="8" style="59" bestFit="1" customWidth="1"/>
    <col min="13549" max="13549" width="32.7109375" style="59" customWidth="1"/>
    <col min="13550" max="13550" width="13.140625" style="59" bestFit="1" customWidth="1"/>
    <col min="13551" max="13551" width="12.5703125" style="59" bestFit="1" customWidth="1"/>
    <col min="13552" max="13552" width="6.28515625" style="59" customWidth="1"/>
    <col min="13553" max="13553" width="26.7109375" style="59" bestFit="1" customWidth="1"/>
    <col min="13554" max="13554" width="12.140625" style="59" customWidth="1"/>
    <col min="13555" max="13557" width="0" style="59" hidden="1" customWidth="1"/>
    <col min="13558" max="13558" width="15.140625" style="59" customWidth="1"/>
    <col min="13559" max="13559" width="12.28515625" style="59" customWidth="1"/>
    <col min="13560" max="13560" width="14.140625" style="59" customWidth="1"/>
    <col min="13561" max="13561" width="12.7109375" style="59" customWidth="1"/>
    <col min="13562" max="13562" width="12" style="59" bestFit="1" customWidth="1"/>
    <col min="13563" max="13563" width="15.5703125" style="59" customWidth="1"/>
    <col min="13564" max="13564" width="14.7109375" style="59" customWidth="1"/>
    <col min="13565" max="13565" width="13.5703125" style="59" customWidth="1"/>
    <col min="13566" max="13566" width="12.85546875" style="59" customWidth="1"/>
    <col min="13567" max="13567" width="13.7109375" style="59" bestFit="1" customWidth="1"/>
    <col min="13568" max="13568" width="12.28515625" style="59" customWidth="1"/>
    <col min="13569" max="13569" width="12.140625" style="59" customWidth="1"/>
    <col min="13570" max="13570" width="13.85546875" style="59" bestFit="1" customWidth="1"/>
    <col min="13571" max="13571" width="14.5703125" style="59" customWidth="1"/>
    <col min="13572" max="13572" width="18" style="59" customWidth="1"/>
    <col min="13573" max="13573" width="13.28515625" style="59" customWidth="1"/>
    <col min="13574" max="13574" width="6.85546875" style="59" customWidth="1"/>
    <col min="13575" max="13575" width="10.5703125" style="59" customWidth="1"/>
    <col min="13576" max="13576" width="17.140625" style="59" customWidth="1"/>
    <col min="13577" max="13580" width="9.140625" style="59"/>
    <col min="13581" max="13581" width="11.5703125" style="59" customWidth="1"/>
    <col min="13582" max="13582" width="11.7109375" style="59" customWidth="1"/>
    <col min="13583" max="13583" width="9.140625" style="59"/>
    <col min="13584" max="13584" width="10.85546875" style="59" customWidth="1"/>
    <col min="13585" max="13585" width="9.140625" style="59"/>
    <col min="13586" max="13587" width="11.42578125" style="59" customWidth="1"/>
    <col min="13588" max="13593" width="9.140625" style="59"/>
    <col min="13594" max="13594" width="13.42578125" style="59" bestFit="1" customWidth="1"/>
    <col min="13595" max="13595" width="21" style="59" bestFit="1" customWidth="1"/>
    <col min="13596" max="13596" width="14.5703125" style="59" customWidth="1"/>
    <col min="13597" max="13597" width="15" style="59" bestFit="1" customWidth="1"/>
    <col min="13598" max="13598" width="9.140625" style="59"/>
    <col min="13599" max="13599" width="16" style="59" customWidth="1"/>
    <col min="13600" max="13601" width="11.42578125" style="59" customWidth="1"/>
    <col min="13602" max="13604" width="9.28515625" style="59" bestFit="1" customWidth="1"/>
    <col min="13605" max="13605" width="11.140625" style="59" bestFit="1" customWidth="1"/>
    <col min="13606" max="13801" width="9.140625" style="59"/>
    <col min="13802" max="13802" width="5.28515625" style="59" customWidth="1"/>
    <col min="13803" max="13803" width="11.140625" style="59" bestFit="1" customWidth="1"/>
    <col min="13804" max="13804" width="8" style="59" bestFit="1" customWidth="1"/>
    <col min="13805" max="13805" width="32.7109375" style="59" customWidth="1"/>
    <col min="13806" max="13806" width="13.140625" style="59" bestFit="1" customWidth="1"/>
    <col min="13807" max="13807" width="12.5703125" style="59" bestFit="1" customWidth="1"/>
    <col min="13808" max="13808" width="6.28515625" style="59" customWidth="1"/>
    <col min="13809" max="13809" width="26.7109375" style="59" bestFit="1" customWidth="1"/>
    <col min="13810" max="13810" width="12.140625" style="59" customWidth="1"/>
    <col min="13811" max="13813" width="0" style="59" hidden="1" customWidth="1"/>
    <col min="13814" max="13814" width="15.140625" style="59" customWidth="1"/>
    <col min="13815" max="13815" width="12.28515625" style="59" customWidth="1"/>
    <col min="13816" max="13816" width="14.140625" style="59" customWidth="1"/>
    <col min="13817" max="13817" width="12.7109375" style="59" customWidth="1"/>
    <col min="13818" max="13818" width="12" style="59" bestFit="1" customWidth="1"/>
    <col min="13819" max="13819" width="15.5703125" style="59" customWidth="1"/>
    <col min="13820" max="13820" width="14.7109375" style="59" customWidth="1"/>
    <col min="13821" max="13821" width="13.5703125" style="59" customWidth="1"/>
    <col min="13822" max="13822" width="12.85546875" style="59" customWidth="1"/>
    <col min="13823" max="13823" width="13.7109375" style="59" bestFit="1" customWidth="1"/>
    <col min="13824" max="13824" width="12.28515625" style="59" customWidth="1"/>
    <col min="13825" max="13825" width="12.140625" style="59" customWidth="1"/>
    <col min="13826" max="13826" width="13.85546875" style="59" bestFit="1" customWidth="1"/>
    <col min="13827" max="13827" width="14.5703125" style="59" customWidth="1"/>
    <col min="13828" max="13828" width="18" style="59" customWidth="1"/>
    <col min="13829" max="13829" width="13.28515625" style="59" customWidth="1"/>
    <col min="13830" max="13830" width="6.85546875" style="59" customWidth="1"/>
    <col min="13831" max="13831" width="10.5703125" style="59" customWidth="1"/>
    <col min="13832" max="13832" width="17.140625" style="59" customWidth="1"/>
    <col min="13833" max="13836" width="9.140625" style="59"/>
    <col min="13837" max="13837" width="11.5703125" style="59" customWidth="1"/>
    <col min="13838" max="13838" width="11.7109375" style="59" customWidth="1"/>
    <col min="13839" max="13839" width="9.140625" style="59"/>
    <col min="13840" max="13840" width="10.85546875" style="59" customWidth="1"/>
    <col min="13841" max="13841" width="9.140625" style="59"/>
    <col min="13842" max="13843" width="11.42578125" style="59" customWidth="1"/>
    <col min="13844" max="13849" width="9.140625" style="59"/>
    <col min="13850" max="13850" width="13.42578125" style="59" bestFit="1" customWidth="1"/>
    <col min="13851" max="13851" width="21" style="59" bestFit="1" customWidth="1"/>
    <col min="13852" max="13852" width="14.5703125" style="59" customWidth="1"/>
    <col min="13853" max="13853" width="15" style="59" bestFit="1" customWidth="1"/>
    <col min="13854" max="13854" width="9.140625" style="59"/>
    <col min="13855" max="13855" width="16" style="59" customWidth="1"/>
    <col min="13856" max="13857" width="11.42578125" style="59" customWidth="1"/>
    <col min="13858" max="13860" width="9.28515625" style="59" bestFit="1" customWidth="1"/>
    <col min="13861" max="13861" width="11.140625" style="59" bestFit="1" customWidth="1"/>
    <col min="13862" max="14057" width="9.140625" style="59"/>
    <col min="14058" max="14058" width="5.28515625" style="59" customWidth="1"/>
    <col min="14059" max="14059" width="11.140625" style="59" bestFit="1" customWidth="1"/>
    <col min="14060" max="14060" width="8" style="59" bestFit="1" customWidth="1"/>
    <col min="14061" max="14061" width="32.7109375" style="59" customWidth="1"/>
    <col min="14062" max="14062" width="13.140625" style="59" bestFit="1" customWidth="1"/>
    <col min="14063" max="14063" width="12.5703125" style="59" bestFit="1" customWidth="1"/>
    <col min="14064" max="14064" width="6.28515625" style="59" customWidth="1"/>
    <col min="14065" max="14065" width="26.7109375" style="59" bestFit="1" customWidth="1"/>
    <col min="14066" max="14066" width="12.140625" style="59" customWidth="1"/>
    <col min="14067" max="14069" width="0" style="59" hidden="1" customWidth="1"/>
    <col min="14070" max="14070" width="15.140625" style="59" customWidth="1"/>
    <col min="14071" max="14071" width="12.28515625" style="59" customWidth="1"/>
    <col min="14072" max="14072" width="14.140625" style="59" customWidth="1"/>
    <col min="14073" max="14073" width="12.7109375" style="59" customWidth="1"/>
    <col min="14074" max="14074" width="12" style="59" bestFit="1" customWidth="1"/>
    <col min="14075" max="14075" width="15.5703125" style="59" customWidth="1"/>
    <col min="14076" max="14076" width="14.7109375" style="59" customWidth="1"/>
    <col min="14077" max="14077" width="13.5703125" style="59" customWidth="1"/>
    <col min="14078" max="14078" width="12.85546875" style="59" customWidth="1"/>
    <col min="14079" max="14079" width="13.7109375" style="59" bestFit="1" customWidth="1"/>
    <col min="14080" max="14080" width="12.28515625" style="59" customWidth="1"/>
    <col min="14081" max="14081" width="12.140625" style="59" customWidth="1"/>
    <col min="14082" max="14082" width="13.85546875" style="59" bestFit="1" customWidth="1"/>
    <col min="14083" max="14083" width="14.5703125" style="59" customWidth="1"/>
    <col min="14084" max="14084" width="18" style="59" customWidth="1"/>
    <col min="14085" max="14085" width="13.28515625" style="59" customWidth="1"/>
    <col min="14086" max="14086" width="6.85546875" style="59" customWidth="1"/>
    <col min="14087" max="14087" width="10.5703125" style="59" customWidth="1"/>
    <col min="14088" max="14088" width="17.140625" style="59" customWidth="1"/>
    <col min="14089" max="14092" width="9.140625" style="59"/>
    <col min="14093" max="14093" width="11.5703125" style="59" customWidth="1"/>
    <col min="14094" max="14094" width="11.7109375" style="59" customWidth="1"/>
    <col min="14095" max="14095" width="9.140625" style="59"/>
    <col min="14096" max="14096" width="10.85546875" style="59" customWidth="1"/>
    <col min="14097" max="14097" width="9.140625" style="59"/>
    <col min="14098" max="14099" width="11.42578125" style="59" customWidth="1"/>
    <col min="14100" max="14105" width="9.140625" style="59"/>
    <col min="14106" max="14106" width="13.42578125" style="59" bestFit="1" customWidth="1"/>
    <col min="14107" max="14107" width="21" style="59" bestFit="1" customWidth="1"/>
    <col min="14108" max="14108" width="14.5703125" style="59" customWidth="1"/>
    <col min="14109" max="14109" width="15" style="59" bestFit="1" customWidth="1"/>
    <col min="14110" max="14110" width="9.140625" style="59"/>
    <col min="14111" max="14111" width="16" style="59" customWidth="1"/>
    <col min="14112" max="14113" width="11.42578125" style="59" customWidth="1"/>
    <col min="14114" max="14116" width="9.28515625" style="59" bestFit="1" customWidth="1"/>
    <col min="14117" max="14117" width="11.140625" style="59" bestFit="1" customWidth="1"/>
    <col min="14118" max="14313" width="9.140625" style="59"/>
    <col min="14314" max="14314" width="5.28515625" style="59" customWidth="1"/>
    <col min="14315" max="14315" width="11.140625" style="59" bestFit="1" customWidth="1"/>
    <col min="14316" max="14316" width="8" style="59" bestFit="1" customWidth="1"/>
    <col min="14317" max="14317" width="32.7109375" style="59" customWidth="1"/>
    <col min="14318" max="14318" width="13.140625" style="59" bestFit="1" customWidth="1"/>
    <col min="14319" max="14319" width="12.5703125" style="59" bestFit="1" customWidth="1"/>
    <col min="14320" max="14320" width="6.28515625" style="59" customWidth="1"/>
    <col min="14321" max="14321" width="26.7109375" style="59" bestFit="1" customWidth="1"/>
    <col min="14322" max="14322" width="12.140625" style="59" customWidth="1"/>
    <col min="14323" max="14325" width="0" style="59" hidden="1" customWidth="1"/>
    <col min="14326" max="14326" width="15.140625" style="59" customWidth="1"/>
    <col min="14327" max="14327" width="12.28515625" style="59" customWidth="1"/>
    <col min="14328" max="14328" width="14.140625" style="59" customWidth="1"/>
    <col min="14329" max="14329" width="12.7109375" style="59" customWidth="1"/>
    <col min="14330" max="14330" width="12" style="59" bestFit="1" customWidth="1"/>
    <col min="14331" max="14331" width="15.5703125" style="59" customWidth="1"/>
    <col min="14332" max="14332" width="14.7109375" style="59" customWidth="1"/>
    <col min="14333" max="14333" width="13.5703125" style="59" customWidth="1"/>
    <col min="14334" max="14334" width="12.85546875" style="59" customWidth="1"/>
    <col min="14335" max="14335" width="13.7109375" style="59" bestFit="1" customWidth="1"/>
    <col min="14336" max="14336" width="12.28515625" style="59" customWidth="1"/>
    <col min="14337" max="14337" width="12.140625" style="59" customWidth="1"/>
    <col min="14338" max="14338" width="13.85546875" style="59" bestFit="1" customWidth="1"/>
    <col min="14339" max="14339" width="14.5703125" style="59" customWidth="1"/>
    <col min="14340" max="14340" width="18" style="59" customWidth="1"/>
    <col min="14341" max="14341" width="13.28515625" style="59" customWidth="1"/>
    <col min="14342" max="14342" width="6.85546875" style="59" customWidth="1"/>
    <col min="14343" max="14343" width="10.5703125" style="59" customWidth="1"/>
    <col min="14344" max="14344" width="17.140625" style="59" customWidth="1"/>
    <col min="14345" max="14348" width="9.140625" style="59"/>
    <col min="14349" max="14349" width="11.5703125" style="59" customWidth="1"/>
    <col min="14350" max="14350" width="11.7109375" style="59" customWidth="1"/>
    <col min="14351" max="14351" width="9.140625" style="59"/>
    <col min="14352" max="14352" width="10.85546875" style="59" customWidth="1"/>
    <col min="14353" max="14353" width="9.140625" style="59"/>
    <col min="14354" max="14355" width="11.42578125" style="59" customWidth="1"/>
    <col min="14356" max="14361" width="9.140625" style="59"/>
    <col min="14362" max="14362" width="13.42578125" style="59" bestFit="1" customWidth="1"/>
    <col min="14363" max="14363" width="21" style="59" bestFit="1" customWidth="1"/>
    <col min="14364" max="14364" width="14.5703125" style="59" customWidth="1"/>
    <col min="14365" max="14365" width="15" style="59" bestFit="1" customWidth="1"/>
    <col min="14366" max="14366" width="9.140625" style="59"/>
    <col min="14367" max="14367" width="16" style="59" customWidth="1"/>
    <col min="14368" max="14369" width="11.42578125" style="59" customWidth="1"/>
    <col min="14370" max="14372" width="9.28515625" style="59" bestFit="1" customWidth="1"/>
    <col min="14373" max="14373" width="11.140625" style="59" bestFit="1" customWidth="1"/>
    <col min="14374" max="14569" width="9.140625" style="59"/>
    <col min="14570" max="14570" width="5.28515625" style="59" customWidth="1"/>
    <col min="14571" max="14571" width="11.140625" style="59" bestFit="1" customWidth="1"/>
    <col min="14572" max="14572" width="8" style="59" bestFit="1" customWidth="1"/>
    <col min="14573" max="14573" width="32.7109375" style="59" customWidth="1"/>
    <col min="14574" max="14574" width="13.140625" style="59" bestFit="1" customWidth="1"/>
    <col min="14575" max="14575" width="12.5703125" style="59" bestFit="1" customWidth="1"/>
    <col min="14576" max="14576" width="6.28515625" style="59" customWidth="1"/>
    <col min="14577" max="14577" width="26.7109375" style="59" bestFit="1" customWidth="1"/>
    <col min="14578" max="14578" width="12.140625" style="59" customWidth="1"/>
    <col min="14579" max="14581" width="0" style="59" hidden="1" customWidth="1"/>
    <col min="14582" max="14582" width="15.140625" style="59" customWidth="1"/>
    <col min="14583" max="14583" width="12.28515625" style="59" customWidth="1"/>
    <col min="14584" max="14584" width="14.140625" style="59" customWidth="1"/>
    <col min="14585" max="14585" width="12.7109375" style="59" customWidth="1"/>
    <col min="14586" max="14586" width="12" style="59" bestFit="1" customWidth="1"/>
    <col min="14587" max="14587" width="15.5703125" style="59" customWidth="1"/>
    <col min="14588" max="14588" width="14.7109375" style="59" customWidth="1"/>
    <col min="14589" max="14589" width="13.5703125" style="59" customWidth="1"/>
    <col min="14590" max="14590" width="12.85546875" style="59" customWidth="1"/>
    <col min="14591" max="14591" width="13.7109375" style="59" bestFit="1" customWidth="1"/>
    <col min="14592" max="14592" width="12.28515625" style="59" customWidth="1"/>
    <col min="14593" max="14593" width="12.140625" style="59" customWidth="1"/>
    <col min="14594" max="14594" width="13.85546875" style="59" bestFit="1" customWidth="1"/>
    <col min="14595" max="14595" width="14.5703125" style="59" customWidth="1"/>
    <col min="14596" max="14596" width="18" style="59" customWidth="1"/>
    <col min="14597" max="14597" width="13.28515625" style="59" customWidth="1"/>
    <col min="14598" max="14598" width="6.85546875" style="59" customWidth="1"/>
    <col min="14599" max="14599" width="10.5703125" style="59" customWidth="1"/>
    <col min="14600" max="14600" width="17.140625" style="59" customWidth="1"/>
    <col min="14601" max="14604" width="9.140625" style="59"/>
    <col min="14605" max="14605" width="11.5703125" style="59" customWidth="1"/>
    <col min="14606" max="14606" width="11.7109375" style="59" customWidth="1"/>
    <col min="14607" max="14607" width="9.140625" style="59"/>
    <col min="14608" max="14608" width="10.85546875" style="59" customWidth="1"/>
    <col min="14609" max="14609" width="9.140625" style="59"/>
    <col min="14610" max="14611" width="11.42578125" style="59" customWidth="1"/>
    <col min="14612" max="14617" width="9.140625" style="59"/>
    <col min="14618" max="14618" width="13.42578125" style="59" bestFit="1" customWidth="1"/>
    <col min="14619" max="14619" width="21" style="59" bestFit="1" customWidth="1"/>
    <col min="14620" max="14620" width="14.5703125" style="59" customWidth="1"/>
    <col min="14621" max="14621" width="15" style="59" bestFit="1" customWidth="1"/>
    <col min="14622" max="14622" width="9.140625" style="59"/>
    <col min="14623" max="14623" width="16" style="59" customWidth="1"/>
    <col min="14624" max="14625" width="11.42578125" style="59" customWidth="1"/>
    <col min="14626" max="14628" width="9.28515625" style="59" bestFit="1" customWidth="1"/>
    <col min="14629" max="14629" width="11.140625" style="59" bestFit="1" customWidth="1"/>
    <col min="14630" max="14825" width="9.140625" style="59"/>
    <col min="14826" max="14826" width="5.28515625" style="59" customWidth="1"/>
    <col min="14827" max="14827" width="11.140625" style="59" bestFit="1" customWidth="1"/>
    <col min="14828" max="14828" width="8" style="59" bestFit="1" customWidth="1"/>
    <col min="14829" max="14829" width="32.7109375" style="59" customWidth="1"/>
    <col min="14830" max="14830" width="13.140625" style="59" bestFit="1" customWidth="1"/>
    <col min="14831" max="14831" width="12.5703125" style="59" bestFit="1" customWidth="1"/>
    <col min="14832" max="14832" width="6.28515625" style="59" customWidth="1"/>
    <col min="14833" max="14833" width="26.7109375" style="59" bestFit="1" customWidth="1"/>
    <col min="14834" max="14834" width="12.140625" style="59" customWidth="1"/>
    <col min="14835" max="14837" width="0" style="59" hidden="1" customWidth="1"/>
    <col min="14838" max="14838" width="15.140625" style="59" customWidth="1"/>
    <col min="14839" max="14839" width="12.28515625" style="59" customWidth="1"/>
    <col min="14840" max="14840" width="14.140625" style="59" customWidth="1"/>
    <col min="14841" max="14841" width="12.7109375" style="59" customWidth="1"/>
    <col min="14842" max="14842" width="12" style="59" bestFit="1" customWidth="1"/>
    <col min="14843" max="14843" width="15.5703125" style="59" customWidth="1"/>
    <col min="14844" max="14844" width="14.7109375" style="59" customWidth="1"/>
    <col min="14845" max="14845" width="13.5703125" style="59" customWidth="1"/>
    <col min="14846" max="14846" width="12.85546875" style="59" customWidth="1"/>
    <col min="14847" max="14847" width="13.7109375" style="59" bestFit="1" customWidth="1"/>
    <col min="14848" max="14848" width="12.28515625" style="59" customWidth="1"/>
    <col min="14849" max="14849" width="12.140625" style="59" customWidth="1"/>
    <col min="14850" max="14850" width="13.85546875" style="59" bestFit="1" customWidth="1"/>
    <col min="14851" max="14851" width="14.5703125" style="59" customWidth="1"/>
    <col min="14852" max="14852" width="18" style="59" customWidth="1"/>
    <col min="14853" max="14853" width="13.28515625" style="59" customWidth="1"/>
    <col min="14854" max="14854" width="6.85546875" style="59" customWidth="1"/>
    <col min="14855" max="14855" width="10.5703125" style="59" customWidth="1"/>
    <col min="14856" max="14856" width="17.140625" style="59" customWidth="1"/>
    <col min="14857" max="14860" width="9.140625" style="59"/>
    <col min="14861" max="14861" width="11.5703125" style="59" customWidth="1"/>
    <col min="14862" max="14862" width="11.7109375" style="59" customWidth="1"/>
    <col min="14863" max="14863" width="9.140625" style="59"/>
    <col min="14864" max="14864" width="10.85546875" style="59" customWidth="1"/>
    <col min="14865" max="14865" width="9.140625" style="59"/>
    <col min="14866" max="14867" width="11.42578125" style="59" customWidth="1"/>
    <col min="14868" max="14873" width="9.140625" style="59"/>
    <col min="14874" max="14874" width="13.42578125" style="59" bestFit="1" customWidth="1"/>
    <col min="14875" max="14875" width="21" style="59" bestFit="1" customWidth="1"/>
    <col min="14876" max="14876" width="14.5703125" style="59" customWidth="1"/>
    <col min="14877" max="14877" width="15" style="59" bestFit="1" customWidth="1"/>
    <col min="14878" max="14878" width="9.140625" style="59"/>
    <col min="14879" max="14879" width="16" style="59" customWidth="1"/>
    <col min="14880" max="14881" width="11.42578125" style="59" customWidth="1"/>
    <col min="14882" max="14884" width="9.28515625" style="59" bestFit="1" customWidth="1"/>
    <col min="14885" max="14885" width="11.140625" style="59" bestFit="1" customWidth="1"/>
    <col min="14886" max="15081" width="9.140625" style="59"/>
    <col min="15082" max="15082" width="5.28515625" style="59" customWidth="1"/>
    <col min="15083" max="15083" width="11.140625" style="59" bestFit="1" customWidth="1"/>
    <col min="15084" max="15084" width="8" style="59" bestFit="1" customWidth="1"/>
    <col min="15085" max="15085" width="32.7109375" style="59" customWidth="1"/>
    <col min="15086" max="15086" width="13.140625" style="59" bestFit="1" customWidth="1"/>
    <col min="15087" max="15087" width="12.5703125" style="59" bestFit="1" customWidth="1"/>
    <col min="15088" max="15088" width="6.28515625" style="59" customWidth="1"/>
    <col min="15089" max="15089" width="26.7109375" style="59" bestFit="1" customWidth="1"/>
    <col min="15090" max="15090" width="12.140625" style="59" customWidth="1"/>
    <col min="15091" max="15093" width="0" style="59" hidden="1" customWidth="1"/>
    <col min="15094" max="15094" width="15.140625" style="59" customWidth="1"/>
    <col min="15095" max="15095" width="12.28515625" style="59" customWidth="1"/>
    <col min="15096" max="15096" width="14.140625" style="59" customWidth="1"/>
    <col min="15097" max="15097" width="12.7109375" style="59" customWidth="1"/>
    <col min="15098" max="15098" width="12" style="59" bestFit="1" customWidth="1"/>
    <col min="15099" max="15099" width="15.5703125" style="59" customWidth="1"/>
    <col min="15100" max="15100" width="14.7109375" style="59" customWidth="1"/>
    <col min="15101" max="15101" width="13.5703125" style="59" customWidth="1"/>
    <col min="15102" max="15102" width="12.85546875" style="59" customWidth="1"/>
    <col min="15103" max="15103" width="13.7109375" style="59" bestFit="1" customWidth="1"/>
    <col min="15104" max="15104" width="12.28515625" style="59" customWidth="1"/>
    <col min="15105" max="15105" width="12.140625" style="59" customWidth="1"/>
    <col min="15106" max="15106" width="13.85546875" style="59" bestFit="1" customWidth="1"/>
    <col min="15107" max="15107" width="14.5703125" style="59" customWidth="1"/>
    <col min="15108" max="15108" width="18" style="59" customWidth="1"/>
    <col min="15109" max="15109" width="13.28515625" style="59" customWidth="1"/>
    <col min="15110" max="15110" width="6.85546875" style="59" customWidth="1"/>
    <col min="15111" max="15111" width="10.5703125" style="59" customWidth="1"/>
    <col min="15112" max="15112" width="17.140625" style="59" customWidth="1"/>
    <col min="15113" max="15116" width="9.140625" style="59"/>
    <col min="15117" max="15117" width="11.5703125" style="59" customWidth="1"/>
    <col min="15118" max="15118" width="11.7109375" style="59" customWidth="1"/>
    <col min="15119" max="15119" width="9.140625" style="59"/>
    <col min="15120" max="15120" width="10.85546875" style="59" customWidth="1"/>
    <col min="15121" max="15121" width="9.140625" style="59"/>
    <col min="15122" max="15123" width="11.42578125" style="59" customWidth="1"/>
    <col min="15124" max="15129" width="9.140625" style="59"/>
    <col min="15130" max="15130" width="13.42578125" style="59" bestFit="1" customWidth="1"/>
    <col min="15131" max="15131" width="21" style="59" bestFit="1" customWidth="1"/>
    <col min="15132" max="15132" width="14.5703125" style="59" customWidth="1"/>
    <col min="15133" max="15133" width="15" style="59" bestFit="1" customWidth="1"/>
    <col min="15134" max="15134" width="9.140625" style="59"/>
    <col min="15135" max="15135" width="16" style="59" customWidth="1"/>
    <col min="15136" max="15137" width="11.42578125" style="59" customWidth="1"/>
    <col min="15138" max="15140" width="9.28515625" style="59" bestFit="1" customWidth="1"/>
    <col min="15141" max="15141" width="11.140625" style="59" bestFit="1" customWidth="1"/>
    <col min="15142" max="15337" width="9.140625" style="59"/>
    <col min="15338" max="15338" width="5.28515625" style="59" customWidth="1"/>
    <col min="15339" max="15339" width="11.140625" style="59" bestFit="1" customWidth="1"/>
    <col min="15340" max="15340" width="8" style="59" bestFit="1" customWidth="1"/>
    <col min="15341" max="15341" width="32.7109375" style="59" customWidth="1"/>
    <col min="15342" max="15342" width="13.140625" style="59" bestFit="1" customWidth="1"/>
    <col min="15343" max="15343" width="12.5703125" style="59" bestFit="1" customWidth="1"/>
    <col min="15344" max="15344" width="6.28515625" style="59" customWidth="1"/>
    <col min="15345" max="15345" width="26.7109375" style="59" bestFit="1" customWidth="1"/>
    <col min="15346" max="15346" width="12.140625" style="59" customWidth="1"/>
    <col min="15347" max="15349" width="0" style="59" hidden="1" customWidth="1"/>
    <col min="15350" max="15350" width="15.140625" style="59" customWidth="1"/>
    <col min="15351" max="15351" width="12.28515625" style="59" customWidth="1"/>
    <col min="15352" max="15352" width="14.140625" style="59" customWidth="1"/>
    <col min="15353" max="15353" width="12.7109375" style="59" customWidth="1"/>
    <col min="15354" max="15354" width="12" style="59" bestFit="1" customWidth="1"/>
    <col min="15355" max="15355" width="15.5703125" style="59" customWidth="1"/>
    <col min="15356" max="15356" width="14.7109375" style="59" customWidth="1"/>
    <col min="15357" max="15357" width="13.5703125" style="59" customWidth="1"/>
    <col min="15358" max="15358" width="12.85546875" style="59" customWidth="1"/>
    <col min="15359" max="15359" width="13.7109375" style="59" bestFit="1" customWidth="1"/>
    <col min="15360" max="15360" width="12.28515625" style="59" customWidth="1"/>
    <col min="15361" max="15361" width="12.140625" style="59" customWidth="1"/>
    <col min="15362" max="15362" width="13.85546875" style="59" bestFit="1" customWidth="1"/>
    <col min="15363" max="15363" width="14.5703125" style="59" customWidth="1"/>
    <col min="15364" max="15364" width="18" style="59" customWidth="1"/>
    <col min="15365" max="15365" width="13.28515625" style="59" customWidth="1"/>
    <col min="15366" max="15366" width="6.85546875" style="59" customWidth="1"/>
    <col min="15367" max="15367" width="10.5703125" style="59" customWidth="1"/>
    <col min="15368" max="15368" width="17.140625" style="59" customWidth="1"/>
    <col min="15369" max="15372" width="9.140625" style="59"/>
    <col min="15373" max="15373" width="11.5703125" style="59" customWidth="1"/>
    <col min="15374" max="15374" width="11.7109375" style="59" customWidth="1"/>
    <col min="15375" max="15375" width="9.140625" style="59"/>
    <col min="15376" max="15376" width="10.85546875" style="59" customWidth="1"/>
    <col min="15377" max="15377" width="9.140625" style="59"/>
    <col min="15378" max="15379" width="11.42578125" style="59" customWidth="1"/>
    <col min="15380" max="15385" width="9.140625" style="59"/>
    <col min="15386" max="15386" width="13.42578125" style="59" bestFit="1" customWidth="1"/>
    <col min="15387" max="15387" width="21" style="59" bestFit="1" customWidth="1"/>
    <col min="15388" max="15388" width="14.5703125" style="59" customWidth="1"/>
    <col min="15389" max="15389" width="15" style="59" bestFit="1" customWidth="1"/>
    <col min="15390" max="15390" width="9.140625" style="59"/>
    <col min="15391" max="15391" width="16" style="59" customWidth="1"/>
    <col min="15392" max="15393" width="11.42578125" style="59" customWidth="1"/>
    <col min="15394" max="15396" width="9.28515625" style="59" bestFit="1" customWidth="1"/>
    <col min="15397" max="15397" width="11.140625" style="59" bestFit="1" customWidth="1"/>
    <col min="15398" max="15593" width="9.140625" style="59"/>
    <col min="15594" max="15594" width="5.28515625" style="59" customWidth="1"/>
    <col min="15595" max="15595" width="11.140625" style="59" bestFit="1" customWidth="1"/>
    <col min="15596" max="15596" width="8" style="59" bestFit="1" customWidth="1"/>
    <col min="15597" max="15597" width="32.7109375" style="59" customWidth="1"/>
    <col min="15598" max="15598" width="13.140625" style="59" bestFit="1" customWidth="1"/>
    <col min="15599" max="15599" width="12.5703125" style="59" bestFit="1" customWidth="1"/>
    <col min="15600" max="15600" width="6.28515625" style="59" customWidth="1"/>
    <col min="15601" max="15601" width="26.7109375" style="59" bestFit="1" customWidth="1"/>
    <col min="15602" max="15602" width="12.140625" style="59" customWidth="1"/>
    <col min="15603" max="15605" width="0" style="59" hidden="1" customWidth="1"/>
    <col min="15606" max="15606" width="15.140625" style="59" customWidth="1"/>
    <col min="15607" max="15607" width="12.28515625" style="59" customWidth="1"/>
    <col min="15608" max="15608" width="14.140625" style="59" customWidth="1"/>
    <col min="15609" max="15609" width="12.7109375" style="59" customWidth="1"/>
    <col min="15610" max="15610" width="12" style="59" bestFit="1" customWidth="1"/>
    <col min="15611" max="15611" width="15.5703125" style="59" customWidth="1"/>
    <col min="15612" max="15612" width="14.7109375" style="59" customWidth="1"/>
    <col min="15613" max="15613" width="13.5703125" style="59" customWidth="1"/>
    <col min="15614" max="15614" width="12.85546875" style="59" customWidth="1"/>
    <col min="15615" max="15615" width="13.7109375" style="59" bestFit="1" customWidth="1"/>
    <col min="15616" max="15616" width="12.28515625" style="59" customWidth="1"/>
    <col min="15617" max="15617" width="12.140625" style="59" customWidth="1"/>
    <col min="15618" max="15618" width="13.85546875" style="59" bestFit="1" customWidth="1"/>
    <col min="15619" max="15619" width="14.5703125" style="59" customWidth="1"/>
    <col min="15620" max="15620" width="18" style="59" customWidth="1"/>
    <col min="15621" max="15621" width="13.28515625" style="59" customWidth="1"/>
    <col min="15622" max="15622" width="6.85546875" style="59" customWidth="1"/>
    <col min="15623" max="15623" width="10.5703125" style="59" customWidth="1"/>
    <col min="15624" max="15624" width="17.140625" style="59" customWidth="1"/>
    <col min="15625" max="15628" width="9.140625" style="59"/>
    <col min="15629" max="15629" width="11.5703125" style="59" customWidth="1"/>
    <col min="15630" max="15630" width="11.7109375" style="59" customWidth="1"/>
    <col min="15631" max="15631" width="9.140625" style="59"/>
    <col min="15632" max="15632" width="10.85546875" style="59" customWidth="1"/>
    <col min="15633" max="15633" width="9.140625" style="59"/>
    <col min="15634" max="15635" width="11.42578125" style="59" customWidth="1"/>
    <col min="15636" max="15641" width="9.140625" style="59"/>
    <col min="15642" max="15642" width="13.42578125" style="59" bestFit="1" customWidth="1"/>
    <col min="15643" max="15643" width="21" style="59" bestFit="1" customWidth="1"/>
    <col min="15644" max="15644" width="14.5703125" style="59" customWidth="1"/>
    <col min="15645" max="15645" width="15" style="59" bestFit="1" customWidth="1"/>
    <col min="15646" max="15646" width="9.140625" style="59"/>
    <col min="15647" max="15647" width="16" style="59" customWidth="1"/>
    <col min="15648" max="15649" width="11.42578125" style="59" customWidth="1"/>
    <col min="15650" max="15652" width="9.28515625" style="59" bestFit="1" customWidth="1"/>
    <col min="15653" max="15653" width="11.140625" style="59" bestFit="1" customWidth="1"/>
    <col min="15654" max="15849" width="9.140625" style="59"/>
    <col min="15850" max="15850" width="5.28515625" style="59" customWidth="1"/>
    <col min="15851" max="15851" width="11.140625" style="59" bestFit="1" customWidth="1"/>
    <col min="15852" max="15852" width="8" style="59" bestFit="1" customWidth="1"/>
    <col min="15853" max="15853" width="32.7109375" style="59" customWidth="1"/>
    <col min="15854" max="15854" width="13.140625" style="59" bestFit="1" customWidth="1"/>
    <col min="15855" max="15855" width="12.5703125" style="59" bestFit="1" customWidth="1"/>
    <col min="15856" max="15856" width="6.28515625" style="59" customWidth="1"/>
    <col min="15857" max="15857" width="26.7109375" style="59" bestFit="1" customWidth="1"/>
    <col min="15858" max="15858" width="12.140625" style="59" customWidth="1"/>
    <col min="15859" max="15861" width="0" style="59" hidden="1" customWidth="1"/>
    <col min="15862" max="15862" width="15.140625" style="59" customWidth="1"/>
    <col min="15863" max="15863" width="12.28515625" style="59" customWidth="1"/>
    <col min="15864" max="15864" width="14.140625" style="59" customWidth="1"/>
    <col min="15865" max="15865" width="12.7109375" style="59" customWidth="1"/>
    <col min="15866" max="15866" width="12" style="59" bestFit="1" customWidth="1"/>
    <col min="15867" max="15867" width="15.5703125" style="59" customWidth="1"/>
    <col min="15868" max="15868" width="14.7109375" style="59" customWidth="1"/>
    <col min="15869" max="15869" width="13.5703125" style="59" customWidth="1"/>
    <col min="15870" max="15870" width="12.85546875" style="59" customWidth="1"/>
    <col min="15871" max="15871" width="13.7109375" style="59" bestFit="1" customWidth="1"/>
    <col min="15872" max="15872" width="12.28515625" style="59" customWidth="1"/>
    <col min="15873" max="15873" width="12.140625" style="59" customWidth="1"/>
    <col min="15874" max="15874" width="13.85546875" style="59" bestFit="1" customWidth="1"/>
    <col min="15875" max="15875" width="14.5703125" style="59" customWidth="1"/>
    <col min="15876" max="15876" width="18" style="59" customWidth="1"/>
    <col min="15877" max="15877" width="13.28515625" style="59" customWidth="1"/>
    <col min="15878" max="15878" width="6.85546875" style="59" customWidth="1"/>
    <col min="15879" max="15879" width="10.5703125" style="59" customWidth="1"/>
    <col min="15880" max="15880" width="17.140625" style="59" customWidth="1"/>
    <col min="15881" max="15884" width="9.140625" style="59"/>
    <col min="15885" max="15885" width="11.5703125" style="59" customWidth="1"/>
    <col min="15886" max="15886" width="11.7109375" style="59" customWidth="1"/>
    <col min="15887" max="15887" width="9.140625" style="59"/>
    <col min="15888" max="15888" width="10.85546875" style="59" customWidth="1"/>
    <col min="15889" max="15889" width="9.140625" style="59"/>
    <col min="15890" max="15891" width="11.42578125" style="59" customWidth="1"/>
    <col min="15892" max="15897" width="9.140625" style="59"/>
    <col min="15898" max="15898" width="13.42578125" style="59" bestFit="1" customWidth="1"/>
    <col min="15899" max="15899" width="21" style="59" bestFit="1" customWidth="1"/>
    <col min="15900" max="15900" width="14.5703125" style="59" customWidth="1"/>
    <col min="15901" max="15901" width="15" style="59" bestFit="1" customWidth="1"/>
    <col min="15902" max="15902" width="9.140625" style="59"/>
    <col min="15903" max="15903" width="16" style="59" customWidth="1"/>
    <col min="15904" max="15905" width="11.42578125" style="59" customWidth="1"/>
    <col min="15906" max="15908" width="9.28515625" style="59" bestFit="1" customWidth="1"/>
    <col min="15909" max="15909" width="11.140625" style="59" bestFit="1" customWidth="1"/>
    <col min="15910" max="16105" width="9.140625" style="59"/>
    <col min="16106" max="16106" width="5.28515625" style="59" customWidth="1"/>
    <col min="16107" max="16107" width="11.140625" style="59" bestFit="1" customWidth="1"/>
    <col min="16108" max="16108" width="8" style="59" bestFit="1" customWidth="1"/>
    <col min="16109" max="16109" width="32.7109375" style="59" customWidth="1"/>
    <col min="16110" max="16110" width="13.140625" style="59" bestFit="1" customWidth="1"/>
    <col min="16111" max="16111" width="12.5703125" style="59" bestFit="1" customWidth="1"/>
    <col min="16112" max="16112" width="6.28515625" style="59" customWidth="1"/>
    <col min="16113" max="16113" width="26.7109375" style="59" bestFit="1" customWidth="1"/>
    <col min="16114" max="16114" width="12.140625" style="59" customWidth="1"/>
    <col min="16115" max="16117" width="0" style="59" hidden="1" customWidth="1"/>
    <col min="16118" max="16118" width="15.140625" style="59" customWidth="1"/>
    <col min="16119" max="16119" width="12.28515625" style="59" customWidth="1"/>
    <col min="16120" max="16120" width="14.140625" style="59" customWidth="1"/>
    <col min="16121" max="16121" width="12.7109375" style="59" customWidth="1"/>
    <col min="16122" max="16122" width="12" style="59" bestFit="1" customWidth="1"/>
    <col min="16123" max="16123" width="15.5703125" style="59" customWidth="1"/>
    <col min="16124" max="16124" width="14.7109375" style="59" customWidth="1"/>
    <col min="16125" max="16125" width="13.5703125" style="59" customWidth="1"/>
    <col min="16126" max="16126" width="12.85546875" style="59" customWidth="1"/>
    <col min="16127" max="16127" width="13.7109375" style="59" bestFit="1" customWidth="1"/>
    <col min="16128" max="16128" width="12.28515625" style="59" customWidth="1"/>
    <col min="16129" max="16129" width="12.140625" style="59" customWidth="1"/>
    <col min="16130" max="16130" width="13.85546875" style="59" bestFit="1" customWidth="1"/>
    <col min="16131" max="16131" width="14.5703125" style="59" customWidth="1"/>
    <col min="16132" max="16132" width="18" style="59" customWidth="1"/>
    <col min="16133" max="16133" width="13.28515625" style="59" customWidth="1"/>
    <col min="16134" max="16134" width="6.85546875" style="59" customWidth="1"/>
    <col min="16135" max="16135" width="10.5703125" style="59" customWidth="1"/>
    <col min="16136" max="16136" width="17.140625" style="59" customWidth="1"/>
    <col min="16137" max="16140" width="9.140625" style="59"/>
    <col min="16141" max="16141" width="11.5703125" style="59" customWidth="1"/>
    <col min="16142" max="16142" width="11.7109375" style="59" customWidth="1"/>
    <col min="16143" max="16143" width="9.140625" style="59"/>
    <col min="16144" max="16144" width="10.85546875" style="59" customWidth="1"/>
    <col min="16145" max="16145" width="9.140625" style="59"/>
    <col min="16146" max="16147" width="11.42578125" style="59" customWidth="1"/>
    <col min="16148" max="16153" width="9.140625" style="59"/>
    <col min="16154" max="16154" width="13.42578125" style="59" bestFit="1" customWidth="1"/>
    <col min="16155" max="16155" width="21" style="59" bestFit="1" customWidth="1"/>
    <col min="16156" max="16156" width="14.5703125" style="59" customWidth="1"/>
    <col min="16157" max="16157" width="15" style="59" bestFit="1" customWidth="1"/>
    <col min="16158" max="16158" width="9.140625" style="59"/>
    <col min="16159" max="16159" width="16" style="59" customWidth="1"/>
    <col min="16160" max="16161" width="11.42578125" style="59" customWidth="1"/>
    <col min="16162" max="16164" width="9.28515625" style="59" bestFit="1" customWidth="1"/>
    <col min="16165" max="16165" width="11.140625" style="59" bestFit="1" customWidth="1"/>
    <col min="16166" max="16384" width="9.140625" style="59"/>
  </cols>
  <sheetData>
    <row r="1" spans="1:39" ht="23.25" x14ac:dyDescent="0.25">
      <c r="A1" s="54" t="s">
        <v>148</v>
      </c>
      <c r="B1" s="55"/>
      <c r="C1" s="55"/>
      <c r="D1" s="56"/>
      <c r="E1" s="56"/>
      <c r="F1" s="56"/>
      <c r="G1" s="56"/>
      <c r="H1" s="56"/>
      <c r="I1" s="56"/>
      <c r="J1" s="56"/>
      <c r="K1" s="56"/>
      <c r="L1" s="56"/>
      <c r="M1" s="150" t="s">
        <v>92</v>
      </c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8"/>
      <c r="Z1" s="125"/>
    </row>
    <row r="2" spans="1:39" ht="23.25" x14ac:dyDescent="0.25">
      <c r="A2" s="61" t="s">
        <v>149</v>
      </c>
      <c r="M2" s="151">
        <v>43951</v>
      </c>
      <c r="N2" s="62"/>
      <c r="O2" s="63"/>
      <c r="AB2" s="128"/>
    </row>
    <row r="3" spans="1:39" ht="23.25" x14ac:dyDescent="0.25">
      <c r="A3" s="61" t="s">
        <v>150</v>
      </c>
      <c r="F3" s="66"/>
      <c r="M3" s="152" t="s">
        <v>5</v>
      </c>
      <c r="N3" s="67"/>
    </row>
    <row r="4" spans="1:39" ht="15.75" x14ac:dyDescent="0.15">
      <c r="I4" s="68"/>
      <c r="O4" s="69"/>
      <c r="W4" s="70"/>
      <c r="AJ4" s="129" t="s">
        <v>93</v>
      </c>
      <c r="AK4" s="129"/>
    </row>
    <row r="6" spans="1:39" ht="55.5" customHeight="1" x14ac:dyDescent="0.25">
      <c r="A6" s="71" t="s">
        <v>94</v>
      </c>
      <c r="B6" s="71" t="s">
        <v>57</v>
      </c>
      <c r="C6" s="71" t="s">
        <v>95</v>
      </c>
      <c r="D6" s="71" t="s">
        <v>96</v>
      </c>
      <c r="E6" s="71" t="s">
        <v>97</v>
      </c>
      <c r="F6" s="72" t="s">
        <v>98</v>
      </c>
      <c r="G6" s="72" t="s">
        <v>99</v>
      </c>
      <c r="H6" s="71" t="s">
        <v>100</v>
      </c>
      <c r="I6" s="72" t="s">
        <v>101</v>
      </c>
      <c r="J6" s="72" t="s">
        <v>102</v>
      </c>
      <c r="K6" s="72" t="s">
        <v>103</v>
      </c>
      <c r="L6" s="72" t="s">
        <v>104</v>
      </c>
      <c r="M6" s="72" t="s">
        <v>105</v>
      </c>
      <c r="N6" s="72" t="s">
        <v>106</v>
      </c>
      <c r="O6" s="72" t="s">
        <v>107</v>
      </c>
      <c r="P6" s="72" t="s">
        <v>108</v>
      </c>
      <c r="Q6" s="72" t="s">
        <v>109</v>
      </c>
      <c r="R6" s="72" t="s">
        <v>110</v>
      </c>
      <c r="S6" s="72" t="s">
        <v>111</v>
      </c>
      <c r="T6" s="120" t="s">
        <v>112</v>
      </c>
      <c r="U6" s="72" t="s">
        <v>113</v>
      </c>
      <c r="V6" s="72" t="s">
        <v>114</v>
      </c>
      <c r="W6" s="72" t="s">
        <v>115</v>
      </c>
      <c r="X6" s="71" t="s">
        <v>116</v>
      </c>
      <c r="AA6" s="525" t="s">
        <v>117</v>
      </c>
      <c r="AB6" s="525"/>
      <c r="AC6" s="525"/>
      <c r="AD6" s="130">
        <f>+M2</f>
        <v>43951</v>
      </c>
      <c r="AE6" s="131" t="s">
        <v>118</v>
      </c>
      <c r="AF6" s="131"/>
      <c r="AG6" s="131"/>
      <c r="AH6" s="132" t="s">
        <v>4</v>
      </c>
      <c r="AJ6" s="127">
        <v>0</v>
      </c>
      <c r="AK6" s="133">
        <v>0</v>
      </c>
      <c r="AM6" s="73"/>
    </row>
    <row r="7" spans="1:39" ht="23.25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121"/>
      <c r="U7" s="74"/>
      <c r="V7" s="74"/>
      <c r="W7" s="75"/>
      <c r="X7" s="74"/>
      <c r="Y7" s="76"/>
      <c r="Z7" s="134"/>
      <c r="AA7" s="135" t="s">
        <v>120</v>
      </c>
      <c r="AB7" s="135" t="s">
        <v>121</v>
      </c>
      <c r="AC7" s="135" t="s">
        <v>122</v>
      </c>
      <c r="AD7" s="130"/>
      <c r="AE7" s="135" t="s">
        <v>123</v>
      </c>
      <c r="AF7" s="135" t="s">
        <v>119</v>
      </c>
      <c r="AG7" s="135" t="s">
        <v>124</v>
      </c>
      <c r="AH7" s="132">
        <v>2122</v>
      </c>
      <c r="AJ7" s="127">
        <v>1</v>
      </c>
      <c r="AK7" s="133">
        <v>0</v>
      </c>
    </row>
    <row r="8" spans="1:39" s="91" customFormat="1" ht="24" customHeight="1" x14ac:dyDescent="0.25">
      <c r="A8" s="77">
        <v>1</v>
      </c>
      <c r="B8" s="78" t="str">
        <f>+LEFT('Plla rc iva'!D10,7)</f>
        <v>4380924</v>
      </c>
      <c r="C8" s="79" t="s">
        <v>125</v>
      </c>
      <c r="D8" s="80" t="str">
        <f>_xlfn.TEXTJOIN(" ",TRUE,'Plla rc iva'!E10:G10)</f>
        <v>JORGE VALLEJOS ZEBALLOS</v>
      </c>
      <c r="E8" s="81" t="s">
        <v>130</v>
      </c>
      <c r="F8" s="82">
        <v>25064</v>
      </c>
      <c r="G8" s="81" t="s">
        <v>126</v>
      </c>
      <c r="H8" s="83" t="s">
        <v>142</v>
      </c>
      <c r="I8" s="84">
        <v>37987</v>
      </c>
      <c r="J8" s="86">
        <f>+'Plla rc iva'!N10/(1-0.1271)</f>
        <v>12601.672585634093</v>
      </c>
      <c r="K8" s="79">
        <v>30</v>
      </c>
      <c r="L8" s="85">
        <f t="shared" ref="L8:L15" si="0">(J8/30)*K8</f>
        <v>12601.672585634093</v>
      </c>
      <c r="M8" s="87">
        <f t="shared" ref="M8:M15" si="1">IF(AND(AB8&gt;=2,AB8&lt;5),($AH$7*3*0.05),IF(AND(AB8&gt;=5,AB8&lt;8),($AH$7*3*0.11),IF(AND(AB8&gt;=8,AB8&lt;11),($AH$7*3*0.18),IF(AND(AB8&gt;=11,AB8&lt;15),($AH$7*3*0.26),IF(AND(AB8&gt;=15,AB8&lt;20),($AH$7*3*0.34),IF(AND(AB8&gt;=20,AB8&lt;25),($AH$7*3*0.42),IF(AB8&gt;25,($AH$7*3*0.5),0)))))))</f>
        <v>2164.44</v>
      </c>
      <c r="N8" s="87">
        <v>0</v>
      </c>
      <c r="O8" s="87">
        <f t="shared" ref="O8:O15" si="2">SUM(L8:N8)</f>
        <v>14766.112585634093</v>
      </c>
      <c r="P8" s="87">
        <f t="shared" ref="P8:P15" si="3">IF(O8&gt;($AH$7*60),($AH$7*60)*0.1271,O8*0.1271)</f>
        <v>1876.7729096340931</v>
      </c>
      <c r="Q8" s="87">
        <f>IF(O8&gt;13000,(O8-13000)*0.01,0)</f>
        <v>17.661125856340931</v>
      </c>
      <c r="R8" s="87">
        <f t="shared" ref="R8:R15" si="4">IF(O8&gt;25000,(O8-25000)*0.05,0)</f>
        <v>0</v>
      </c>
      <c r="S8" s="87">
        <f t="shared" ref="S8:S15" si="5">IF(O8&gt;35000,(O8-35000)*0.1,0)</f>
        <v>0</v>
      </c>
      <c r="T8" s="122">
        <f>'[2]RC IVA'!S9</f>
        <v>0</v>
      </c>
      <c r="U8" s="87">
        <v>0</v>
      </c>
      <c r="V8" s="87">
        <f t="shared" ref="V8:V15" si="6">SUM(P8:U8)</f>
        <v>1894.4340354904341</v>
      </c>
      <c r="W8" s="87">
        <f t="shared" ref="W8:W15" si="7">ROUND((O8-V8),2)</f>
        <v>12871.68</v>
      </c>
      <c r="X8" s="88"/>
      <c r="Y8" s="89"/>
      <c r="Z8" s="90"/>
      <c r="AA8" s="136">
        <f t="shared" ref="AA8:AA16" si="8">$M$2-I8</f>
        <v>5964</v>
      </c>
      <c r="AB8" s="137">
        <f t="shared" ref="AB8:AB16" si="9">+DATEDIF(I8,$AD$6,"Y")</f>
        <v>16</v>
      </c>
      <c r="AC8" s="136">
        <f t="shared" ref="AC8:AC16" si="10">ROUND(AB8,0)</f>
        <v>16</v>
      </c>
      <c r="AD8" s="137">
        <f t="shared" ref="AD8:AD16" si="11">+DATEDIF(I8,$AD$6,"Y")</f>
        <v>16</v>
      </c>
      <c r="AE8" s="138" t="s">
        <v>129</v>
      </c>
      <c r="AF8" s="123">
        <v>0.05</v>
      </c>
      <c r="AG8" s="139">
        <f t="shared" ref="AG8:AG14" si="12">($AH$7*3)*AF8</f>
        <v>318.3</v>
      </c>
      <c r="AH8" s="140" t="e">
        <f t="shared" ref="AH8:AH15" si="13">VLOOKUP(AD8,$AJ$6:$AK$29,2,0)</f>
        <v>#N/A</v>
      </c>
      <c r="AI8" s="141" t="e">
        <f t="shared" ref="AI8:AI15" si="14">+$AH$7*3*AH8</f>
        <v>#N/A</v>
      </c>
      <c r="AJ8" s="142">
        <v>2</v>
      </c>
      <c r="AK8" s="143">
        <v>0.05</v>
      </c>
      <c r="AM8" s="92"/>
    </row>
    <row r="9" spans="1:39" s="94" customFormat="1" ht="24" customHeight="1" x14ac:dyDescent="0.25">
      <c r="A9" s="77">
        <v>2</v>
      </c>
      <c r="B9" s="78" t="str">
        <f>+LEFT('Plla rc iva'!D11,7)</f>
        <v>3887474</v>
      </c>
      <c r="C9" s="79" t="s">
        <v>125</v>
      </c>
      <c r="D9" s="80" t="str">
        <f>_xlfn.TEXTJOIN(" ",TRUE,'Plla rc iva'!E11:G11)</f>
        <v>JUAN PEREZ PEREZ</v>
      </c>
      <c r="E9" s="81" t="s">
        <v>130</v>
      </c>
      <c r="F9" s="82">
        <v>25583</v>
      </c>
      <c r="G9" s="81" t="s">
        <v>126</v>
      </c>
      <c r="H9" s="83" t="s">
        <v>131</v>
      </c>
      <c r="I9" s="84">
        <v>37288</v>
      </c>
      <c r="J9" s="86">
        <f>+'Plla rc iva'!N11/(1-0.1271)</f>
        <v>4009.6230954290295</v>
      </c>
      <c r="K9" s="79">
        <v>30</v>
      </c>
      <c r="L9" s="85">
        <f t="shared" si="0"/>
        <v>4009.623095429029</v>
      </c>
      <c r="M9" s="87">
        <f t="shared" si="1"/>
        <v>2164.44</v>
      </c>
      <c r="N9" s="87">
        <v>0</v>
      </c>
      <c r="O9" s="87">
        <f t="shared" si="2"/>
        <v>6174.0630954290291</v>
      </c>
      <c r="P9" s="87">
        <f t="shared" si="3"/>
        <v>784.72341942902949</v>
      </c>
      <c r="Q9" s="87">
        <f t="shared" ref="Q9:Q15" si="15">IF(O9&gt;13000,(O9-13000)*0.01,0)</f>
        <v>0</v>
      </c>
      <c r="R9" s="87">
        <f t="shared" si="4"/>
        <v>0</v>
      </c>
      <c r="S9" s="87">
        <f t="shared" si="5"/>
        <v>0</v>
      </c>
      <c r="T9" s="122">
        <f>'[2]RC IVA'!S10</f>
        <v>0</v>
      </c>
      <c r="U9" s="87">
        <v>0</v>
      </c>
      <c r="V9" s="87">
        <f t="shared" si="6"/>
        <v>784.72341942902949</v>
      </c>
      <c r="W9" s="87">
        <f t="shared" si="7"/>
        <v>5389.34</v>
      </c>
      <c r="X9" s="93"/>
      <c r="Y9" s="89"/>
      <c r="Z9" s="90"/>
      <c r="AA9" s="136">
        <f t="shared" si="8"/>
        <v>6663</v>
      </c>
      <c r="AB9" s="137">
        <f t="shared" si="9"/>
        <v>18</v>
      </c>
      <c r="AC9" s="136">
        <f t="shared" si="10"/>
        <v>18</v>
      </c>
      <c r="AD9" s="137">
        <f t="shared" si="11"/>
        <v>18</v>
      </c>
      <c r="AE9" s="138" t="s">
        <v>132</v>
      </c>
      <c r="AF9" s="144">
        <v>0.11</v>
      </c>
      <c r="AG9" s="139">
        <f t="shared" si="12"/>
        <v>700.26</v>
      </c>
      <c r="AH9" s="140" t="e">
        <f t="shared" si="13"/>
        <v>#N/A</v>
      </c>
      <c r="AI9" s="141" t="e">
        <f t="shared" si="14"/>
        <v>#N/A</v>
      </c>
      <c r="AJ9" s="142">
        <v>3</v>
      </c>
      <c r="AK9" s="143">
        <v>0.05</v>
      </c>
      <c r="AM9" s="92"/>
    </row>
    <row r="10" spans="1:39" s="94" customFormat="1" ht="24" customHeight="1" x14ac:dyDescent="0.25">
      <c r="A10" s="77">
        <v>3</v>
      </c>
      <c r="B10" s="78" t="str">
        <f>+LEFT('Plla rc iva'!D12,7)</f>
        <v>4570616</v>
      </c>
      <c r="C10" s="79" t="s">
        <v>125</v>
      </c>
      <c r="D10" s="80" t="str">
        <f>_xlfn.TEXTJOIN(" ",TRUE,'Plla rc iva'!E12:G12)</f>
        <v>JOSE MEDRANO MENA</v>
      </c>
      <c r="E10" s="81" t="s">
        <v>130</v>
      </c>
      <c r="F10" s="82">
        <v>30173</v>
      </c>
      <c r="G10" s="81" t="s">
        <v>126</v>
      </c>
      <c r="H10" s="83" t="s">
        <v>133</v>
      </c>
      <c r="I10" s="84">
        <v>37907</v>
      </c>
      <c r="J10" s="86">
        <f>+'Plla rc iva'!N12/(1-0.1271)</f>
        <v>8019.246190858059</v>
      </c>
      <c r="K10" s="79">
        <v>30</v>
      </c>
      <c r="L10" s="85">
        <f t="shared" si="0"/>
        <v>8019.2461908580581</v>
      </c>
      <c r="M10" s="87">
        <f t="shared" si="1"/>
        <v>2164.44</v>
      </c>
      <c r="N10" s="87">
        <v>0</v>
      </c>
      <c r="O10" s="87">
        <f t="shared" si="2"/>
        <v>10183.686190858058</v>
      </c>
      <c r="P10" s="87">
        <f t="shared" si="3"/>
        <v>1294.346514858059</v>
      </c>
      <c r="Q10" s="87">
        <f t="shared" si="15"/>
        <v>0</v>
      </c>
      <c r="R10" s="87">
        <f t="shared" si="4"/>
        <v>0</v>
      </c>
      <c r="S10" s="87">
        <f t="shared" si="5"/>
        <v>0</v>
      </c>
      <c r="T10" s="122">
        <f>'[2]RC IVA'!S11</f>
        <v>0</v>
      </c>
      <c r="U10" s="87">
        <v>0</v>
      </c>
      <c r="V10" s="87">
        <f t="shared" si="6"/>
        <v>1294.346514858059</v>
      </c>
      <c r="W10" s="87">
        <f t="shared" si="7"/>
        <v>8889.34</v>
      </c>
      <c r="X10" s="88"/>
      <c r="Y10" s="89"/>
      <c r="Z10" s="90"/>
      <c r="AA10" s="136">
        <f t="shared" si="8"/>
        <v>6044</v>
      </c>
      <c r="AB10" s="137">
        <f t="shared" si="9"/>
        <v>16</v>
      </c>
      <c r="AC10" s="136">
        <f t="shared" si="10"/>
        <v>16</v>
      </c>
      <c r="AD10" s="137">
        <f t="shared" si="11"/>
        <v>16</v>
      </c>
      <c r="AE10" s="138" t="s">
        <v>134</v>
      </c>
      <c r="AF10" s="123">
        <v>0.18</v>
      </c>
      <c r="AG10" s="139">
        <f t="shared" si="12"/>
        <v>1145.8799999999999</v>
      </c>
      <c r="AH10" s="140" t="e">
        <f t="shared" si="13"/>
        <v>#N/A</v>
      </c>
      <c r="AI10" s="141" t="e">
        <f t="shared" si="14"/>
        <v>#N/A</v>
      </c>
      <c r="AJ10" s="142">
        <v>4</v>
      </c>
      <c r="AK10" s="143">
        <v>0.05</v>
      </c>
      <c r="AM10" s="92"/>
    </row>
    <row r="11" spans="1:39" s="95" customFormat="1" ht="24" customHeight="1" x14ac:dyDescent="0.25">
      <c r="A11" s="77">
        <v>4</v>
      </c>
      <c r="B11" s="78" t="str">
        <f>+LEFT('Plla rc iva'!D13,7)</f>
        <v>4466790</v>
      </c>
      <c r="C11" s="96" t="s">
        <v>125</v>
      </c>
      <c r="D11" s="80" t="str">
        <f>_xlfn.TEXTJOIN(" ",TRUE,'Plla rc iva'!E13:G13)</f>
        <v>NORKA JIMEMEZ ALBARRACIN</v>
      </c>
      <c r="E11" s="97" t="s">
        <v>130</v>
      </c>
      <c r="F11" s="98">
        <v>32698</v>
      </c>
      <c r="G11" s="97" t="s">
        <v>126</v>
      </c>
      <c r="H11" s="99" t="s">
        <v>135</v>
      </c>
      <c r="I11" s="100">
        <v>41031</v>
      </c>
      <c r="J11" s="86">
        <f>+'Plla rc iva'!N13/(1-0.1271)</f>
        <v>13747.279184328101</v>
      </c>
      <c r="K11" s="96">
        <v>30</v>
      </c>
      <c r="L11" s="101">
        <f t="shared" si="0"/>
        <v>13747.279184328101</v>
      </c>
      <c r="M11" s="102">
        <f t="shared" si="1"/>
        <v>700.26</v>
      </c>
      <c r="N11" s="102">
        <v>0</v>
      </c>
      <c r="O11" s="102">
        <f t="shared" si="2"/>
        <v>14447.539184328101</v>
      </c>
      <c r="P11" s="102">
        <f t="shared" si="3"/>
        <v>1836.2822303281016</v>
      </c>
      <c r="Q11" s="102">
        <f t="shared" si="15"/>
        <v>14.475391843281013</v>
      </c>
      <c r="R11" s="102">
        <f t="shared" si="4"/>
        <v>0</v>
      </c>
      <c r="S11" s="102">
        <f t="shared" si="5"/>
        <v>0</v>
      </c>
      <c r="T11" s="122">
        <f>'[2]RC IVA'!S12</f>
        <v>0</v>
      </c>
      <c r="U11" s="87">
        <v>0</v>
      </c>
      <c r="V11" s="102">
        <f t="shared" si="6"/>
        <v>1850.7576221713825</v>
      </c>
      <c r="W11" s="102">
        <f t="shared" si="7"/>
        <v>12596.78</v>
      </c>
      <c r="X11" s="93"/>
      <c r="Y11" s="89"/>
      <c r="Z11" s="90"/>
      <c r="AA11" s="136">
        <f t="shared" si="8"/>
        <v>2920</v>
      </c>
      <c r="AB11" s="137">
        <f t="shared" si="9"/>
        <v>7</v>
      </c>
      <c r="AC11" s="136">
        <f t="shared" si="10"/>
        <v>7</v>
      </c>
      <c r="AD11" s="137">
        <f t="shared" si="11"/>
        <v>7</v>
      </c>
      <c r="AE11" s="138" t="s">
        <v>136</v>
      </c>
      <c r="AF11" s="123">
        <v>0.26</v>
      </c>
      <c r="AG11" s="139">
        <f t="shared" si="12"/>
        <v>1655.16</v>
      </c>
      <c r="AH11" s="140">
        <f t="shared" si="13"/>
        <v>0.11</v>
      </c>
      <c r="AI11" s="141">
        <f t="shared" si="14"/>
        <v>700.26</v>
      </c>
      <c r="AJ11" s="142">
        <v>5</v>
      </c>
      <c r="AK11" s="143">
        <v>0.11</v>
      </c>
      <c r="AM11" s="103"/>
    </row>
    <row r="12" spans="1:39" s="95" customFormat="1" ht="24" customHeight="1" x14ac:dyDescent="0.25">
      <c r="A12" s="77">
        <v>5</v>
      </c>
      <c r="B12" s="78" t="str">
        <f>+LEFT('Plla rc iva'!D14,7)</f>
        <v>4466791</v>
      </c>
      <c r="C12" s="79" t="s">
        <v>125</v>
      </c>
      <c r="D12" s="80" t="str">
        <f>_xlfn.TEXTJOIN(" ",TRUE,'Plla rc iva'!E14:G14)</f>
        <v>NORMA PEREZ TERAN</v>
      </c>
      <c r="E12" s="81" t="s">
        <v>130</v>
      </c>
      <c r="F12" s="82">
        <v>28955</v>
      </c>
      <c r="G12" s="81" t="s">
        <v>128</v>
      </c>
      <c r="H12" s="83" t="s">
        <v>137</v>
      </c>
      <c r="I12" s="84">
        <v>37305</v>
      </c>
      <c r="J12" s="86">
        <f>+'Plla rc iva'!N14/(1-0.1271)</f>
        <v>17184.098980410126</v>
      </c>
      <c r="K12" s="79">
        <v>30</v>
      </c>
      <c r="L12" s="85">
        <f t="shared" si="0"/>
        <v>17184.098980410126</v>
      </c>
      <c r="M12" s="87">
        <f t="shared" si="1"/>
        <v>2164.44</v>
      </c>
      <c r="N12" s="87">
        <v>0</v>
      </c>
      <c r="O12" s="87">
        <f t="shared" si="2"/>
        <v>19348.538980410125</v>
      </c>
      <c r="P12" s="87">
        <f t="shared" si="3"/>
        <v>2459.1993044101268</v>
      </c>
      <c r="Q12" s="87">
        <f t="shared" si="15"/>
        <v>63.485389804101253</v>
      </c>
      <c r="R12" s="87">
        <f t="shared" si="4"/>
        <v>0</v>
      </c>
      <c r="S12" s="87">
        <f t="shared" si="5"/>
        <v>0</v>
      </c>
      <c r="T12" s="122">
        <f>'[2]RC IVA'!S13</f>
        <v>0</v>
      </c>
      <c r="U12" s="87">
        <v>0</v>
      </c>
      <c r="V12" s="87">
        <f t="shared" si="6"/>
        <v>2522.6846942142279</v>
      </c>
      <c r="W12" s="87">
        <f t="shared" si="7"/>
        <v>16825.849999999999</v>
      </c>
      <c r="X12" s="93"/>
      <c r="Y12" s="104"/>
      <c r="Z12" s="90"/>
      <c r="AA12" s="136">
        <f t="shared" si="8"/>
        <v>6646</v>
      </c>
      <c r="AB12" s="137">
        <f t="shared" si="9"/>
        <v>18</v>
      </c>
      <c r="AC12" s="136">
        <f t="shared" si="10"/>
        <v>18</v>
      </c>
      <c r="AD12" s="137">
        <f t="shared" si="11"/>
        <v>18</v>
      </c>
      <c r="AE12" s="138" t="s">
        <v>138</v>
      </c>
      <c r="AF12" s="123">
        <v>0.34</v>
      </c>
      <c r="AG12" s="139">
        <f t="shared" si="12"/>
        <v>2164.44</v>
      </c>
      <c r="AH12" s="140" t="e">
        <f t="shared" si="13"/>
        <v>#N/A</v>
      </c>
      <c r="AI12" s="141" t="e">
        <f t="shared" si="14"/>
        <v>#N/A</v>
      </c>
      <c r="AJ12" s="142"/>
      <c r="AK12" s="143"/>
      <c r="AM12" s="103"/>
    </row>
    <row r="13" spans="1:39" s="91" customFormat="1" ht="24" customHeight="1" x14ac:dyDescent="0.25">
      <c r="A13" s="77">
        <v>6</v>
      </c>
      <c r="B13" s="78" t="str">
        <f>+LEFT('Plla rc iva'!D15,7)</f>
        <v>4466792</v>
      </c>
      <c r="C13" s="79" t="s">
        <v>139</v>
      </c>
      <c r="D13" s="80" t="str">
        <f>_xlfn.TEXTJOIN(" ",TRUE,'Plla rc iva'!E15:G15)</f>
        <v>CARLOS BAENA LOPEZ</v>
      </c>
      <c r="E13" s="81" t="s">
        <v>130</v>
      </c>
      <c r="F13" s="82">
        <v>24732</v>
      </c>
      <c r="G13" s="81" t="s">
        <v>126</v>
      </c>
      <c r="H13" s="83" t="s">
        <v>140</v>
      </c>
      <c r="I13" s="84">
        <v>38169</v>
      </c>
      <c r="J13" s="86">
        <f>+'Plla rc iva'!N15/(1-0.1271)</f>
        <v>25203.345171268185</v>
      </c>
      <c r="K13" s="79">
        <v>30</v>
      </c>
      <c r="L13" s="85">
        <f t="shared" si="0"/>
        <v>25203.345171268185</v>
      </c>
      <c r="M13" s="87">
        <f t="shared" si="1"/>
        <v>2164.44</v>
      </c>
      <c r="N13" s="87">
        <v>0</v>
      </c>
      <c r="O13" s="87">
        <f t="shared" si="2"/>
        <v>27367.785171268184</v>
      </c>
      <c r="P13" s="87">
        <f t="shared" si="3"/>
        <v>3478.4454952681858</v>
      </c>
      <c r="Q13" s="87">
        <f t="shared" si="15"/>
        <v>143.67785171268184</v>
      </c>
      <c r="R13" s="87">
        <f t="shared" si="4"/>
        <v>118.38925856340921</v>
      </c>
      <c r="S13" s="87">
        <f t="shared" si="5"/>
        <v>0</v>
      </c>
      <c r="T13" s="122">
        <f>'[2]RC IVA'!S14</f>
        <v>0</v>
      </c>
      <c r="U13" s="87">
        <v>0</v>
      </c>
      <c r="V13" s="87">
        <f t="shared" si="6"/>
        <v>3740.512605544277</v>
      </c>
      <c r="W13" s="87">
        <f t="shared" si="7"/>
        <v>23627.27</v>
      </c>
      <c r="X13" s="93"/>
      <c r="Y13" s="89"/>
      <c r="Z13" s="90"/>
      <c r="AA13" s="136">
        <f t="shared" si="8"/>
        <v>5782</v>
      </c>
      <c r="AB13" s="137">
        <f t="shared" si="9"/>
        <v>15</v>
      </c>
      <c r="AC13" s="136">
        <f t="shared" si="10"/>
        <v>15</v>
      </c>
      <c r="AD13" s="137">
        <f t="shared" si="11"/>
        <v>15</v>
      </c>
      <c r="AE13" s="138" t="s">
        <v>141</v>
      </c>
      <c r="AF13" s="124">
        <v>0.42</v>
      </c>
      <c r="AG13" s="139">
        <f t="shared" si="12"/>
        <v>2673.72</v>
      </c>
      <c r="AH13" s="140" t="e">
        <f t="shared" si="13"/>
        <v>#N/A</v>
      </c>
      <c r="AI13" s="141" t="e">
        <f t="shared" si="14"/>
        <v>#N/A</v>
      </c>
      <c r="AJ13" s="142">
        <v>6</v>
      </c>
      <c r="AK13" s="143">
        <v>0.11</v>
      </c>
      <c r="AM13" s="105"/>
    </row>
    <row r="14" spans="1:39" s="91" customFormat="1" ht="24" customHeight="1" x14ac:dyDescent="0.25">
      <c r="A14" s="77">
        <v>7</v>
      </c>
      <c r="B14" s="78" t="str">
        <f>+LEFT('Plla rc iva'!D16,7)</f>
        <v>4466793</v>
      </c>
      <c r="C14" s="79" t="s">
        <v>125</v>
      </c>
      <c r="D14" s="80" t="str">
        <f>_xlfn.TEXTJOIN(" ",TRUE,'Plla rc iva'!E16:G16)</f>
        <v>CARMEN LOPEZ LOPEZ</v>
      </c>
      <c r="E14" s="81" t="s">
        <v>130</v>
      </c>
      <c r="F14" s="82">
        <v>31508</v>
      </c>
      <c r="G14" s="81" t="s">
        <v>128</v>
      </c>
      <c r="H14" s="83" t="s">
        <v>127</v>
      </c>
      <c r="I14" s="84">
        <v>42437</v>
      </c>
      <c r="J14" s="86">
        <f>+'Plla rc iva'!N16/(1-0.1271)</f>
        <v>20620.918776492152</v>
      </c>
      <c r="K14" s="96">
        <v>30</v>
      </c>
      <c r="L14" s="85">
        <f t="shared" si="0"/>
        <v>20620.918776492152</v>
      </c>
      <c r="M14" s="87">
        <f t="shared" si="1"/>
        <v>318.3</v>
      </c>
      <c r="N14" s="87">
        <v>0</v>
      </c>
      <c r="O14" s="87">
        <f t="shared" si="2"/>
        <v>20939.218776492151</v>
      </c>
      <c r="P14" s="87">
        <f t="shared" si="3"/>
        <v>2661.3747064921522</v>
      </c>
      <c r="Q14" s="87">
        <f t="shared" si="15"/>
        <v>79.392187764921516</v>
      </c>
      <c r="R14" s="87">
        <f t="shared" si="4"/>
        <v>0</v>
      </c>
      <c r="S14" s="87">
        <f t="shared" si="5"/>
        <v>0</v>
      </c>
      <c r="T14" s="122">
        <f>'[2]RC IVA'!S15</f>
        <v>0</v>
      </c>
      <c r="U14" s="87">
        <v>0</v>
      </c>
      <c r="V14" s="87">
        <f t="shared" si="6"/>
        <v>2740.7668942570735</v>
      </c>
      <c r="W14" s="87">
        <f t="shared" si="7"/>
        <v>18198.45</v>
      </c>
      <c r="X14" s="88"/>
      <c r="Y14" s="89"/>
      <c r="Z14" s="90"/>
      <c r="AA14" s="136">
        <f t="shared" si="8"/>
        <v>1514</v>
      </c>
      <c r="AB14" s="137">
        <f t="shared" si="9"/>
        <v>4</v>
      </c>
      <c r="AC14" s="136">
        <f t="shared" si="10"/>
        <v>4</v>
      </c>
      <c r="AD14" s="137">
        <f t="shared" si="11"/>
        <v>4</v>
      </c>
      <c r="AE14" s="138" t="s">
        <v>143</v>
      </c>
      <c r="AF14" s="124">
        <v>0.5</v>
      </c>
      <c r="AG14" s="139">
        <f t="shared" si="12"/>
        <v>3183</v>
      </c>
      <c r="AH14" s="140">
        <f t="shared" si="13"/>
        <v>0.05</v>
      </c>
      <c r="AI14" s="141">
        <f t="shared" si="14"/>
        <v>318.3</v>
      </c>
      <c r="AJ14" s="142">
        <v>7</v>
      </c>
      <c r="AK14" s="143">
        <v>0.11</v>
      </c>
      <c r="AM14" s="92"/>
    </row>
    <row r="15" spans="1:39" s="91" customFormat="1" ht="24" customHeight="1" x14ac:dyDescent="0.25">
      <c r="A15" s="77">
        <v>8</v>
      </c>
      <c r="B15" s="78" t="str">
        <f>+LEFT('Plla rc iva'!D17,7)</f>
        <v>4466795</v>
      </c>
      <c r="C15" s="79" t="s">
        <v>144</v>
      </c>
      <c r="D15" s="80" t="str">
        <f>_xlfn.TEXTJOIN(" ",TRUE,'Plla rc iva'!E17:G17)</f>
        <v>TERESA MARALES AYME</v>
      </c>
      <c r="E15" s="81" t="s">
        <v>130</v>
      </c>
      <c r="F15" s="82">
        <v>34405</v>
      </c>
      <c r="G15" s="81" t="s">
        <v>128</v>
      </c>
      <c r="H15" s="83" t="s">
        <v>145</v>
      </c>
      <c r="I15" s="84">
        <v>42828</v>
      </c>
      <c r="J15" s="86">
        <f>+'Plla rc iva'!N17/(1-0.1271)</f>
        <v>9164.8527895520674</v>
      </c>
      <c r="K15" s="79">
        <v>30</v>
      </c>
      <c r="L15" s="85">
        <f t="shared" si="0"/>
        <v>9164.8527895520674</v>
      </c>
      <c r="M15" s="87">
        <f t="shared" si="1"/>
        <v>318.3</v>
      </c>
      <c r="N15" s="87">
        <v>0</v>
      </c>
      <c r="O15" s="87">
        <f t="shared" si="2"/>
        <v>9483.1527895520667</v>
      </c>
      <c r="P15" s="87">
        <f t="shared" si="3"/>
        <v>1205.3087195520675</v>
      </c>
      <c r="Q15" s="87">
        <f t="shared" si="15"/>
        <v>0</v>
      </c>
      <c r="R15" s="87">
        <f t="shared" si="4"/>
        <v>0</v>
      </c>
      <c r="S15" s="87">
        <f t="shared" si="5"/>
        <v>0</v>
      </c>
      <c r="T15" s="122">
        <f>'[2]RC IVA'!S16</f>
        <v>0</v>
      </c>
      <c r="U15" s="87">
        <v>0</v>
      </c>
      <c r="V15" s="87">
        <f t="shared" si="6"/>
        <v>1205.3087195520675</v>
      </c>
      <c r="W15" s="87">
        <f t="shared" si="7"/>
        <v>8277.84</v>
      </c>
      <c r="X15" s="93"/>
      <c r="Y15" s="89"/>
      <c r="Z15" s="90"/>
      <c r="AA15" s="136">
        <f t="shared" si="8"/>
        <v>1123</v>
      </c>
      <c r="AB15" s="137">
        <f t="shared" si="9"/>
        <v>3</v>
      </c>
      <c r="AC15" s="136">
        <f t="shared" si="10"/>
        <v>3</v>
      </c>
      <c r="AD15" s="137">
        <f t="shared" si="11"/>
        <v>3</v>
      </c>
      <c r="AE15" s="142"/>
      <c r="AF15" s="123"/>
      <c r="AG15" s="139"/>
      <c r="AH15" s="140">
        <f t="shared" si="13"/>
        <v>0.05</v>
      </c>
      <c r="AI15" s="141">
        <f t="shared" si="14"/>
        <v>318.3</v>
      </c>
      <c r="AJ15" s="142">
        <v>8</v>
      </c>
      <c r="AK15" s="143">
        <v>0.18</v>
      </c>
      <c r="AM15" s="92"/>
    </row>
    <row r="16" spans="1:39" s="91" customFormat="1" ht="24" customHeight="1" x14ac:dyDescent="0.25">
      <c r="A16" s="77"/>
      <c r="B16" s="79"/>
      <c r="C16" s="79"/>
      <c r="D16" s="80"/>
      <c r="E16" s="81"/>
      <c r="F16" s="82"/>
      <c r="G16" s="81"/>
      <c r="H16" s="80"/>
      <c r="I16" s="84"/>
      <c r="J16" s="86"/>
      <c r="K16" s="79"/>
      <c r="L16" s="85"/>
      <c r="M16" s="87"/>
      <c r="N16" s="87"/>
      <c r="O16" s="87"/>
      <c r="P16" s="87"/>
      <c r="Q16" s="87"/>
      <c r="R16" s="87"/>
      <c r="S16" s="87"/>
      <c r="T16" s="122"/>
      <c r="U16" s="87"/>
      <c r="V16" s="87"/>
      <c r="W16" s="87"/>
      <c r="X16" s="88"/>
      <c r="Y16" s="89"/>
      <c r="Z16" s="90"/>
      <c r="AA16" s="136">
        <f t="shared" si="8"/>
        <v>43951</v>
      </c>
      <c r="AB16" s="137">
        <f t="shared" si="9"/>
        <v>120</v>
      </c>
      <c r="AC16" s="136">
        <f t="shared" si="10"/>
        <v>120</v>
      </c>
      <c r="AD16" s="137">
        <f t="shared" si="11"/>
        <v>120</v>
      </c>
      <c r="AE16" s="142"/>
      <c r="AF16" s="142"/>
      <c r="AG16" s="142"/>
      <c r="AH16" s="140"/>
      <c r="AI16" s="141"/>
      <c r="AJ16" s="142">
        <v>9</v>
      </c>
      <c r="AK16" s="143">
        <v>0.18</v>
      </c>
      <c r="AM16" s="92"/>
    </row>
    <row r="17" spans="1:40" s="91" customFormat="1" ht="21" customHeight="1" x14ac:dyDescent="0.25">
      <c r="A17" s="106" t="s">
        <v>146</v>
      </c>
      <c r="B17" s="107"/>
      <c r="C17" s="107"/>
      <c r="D17" s="106"/>
      <c r="E17" s="106"/>
      <c r="F17" s="106"/>
      <c r="G17" s="106"/>
      <c r="H17" s="106"/>
      <c r="I17" s="106"/>
      <c r="J17" s="108">
        <f>SUM(J8:J16)</f>
        <v>110551.03677397181</v>
      </c>
      <c r="K17" s="106"/>
      <c r="L17" s="108">
        <f t="shared" ref="L17:W17" si="16">SUM(L8:L16)</f>
        <v>110551.03677397181</v>
      </c>
      <c r="M17" s="108">
        <f t="shared" si="16"/>
        <v>12159.06</v>
      </c>
      <c r="N17" s="108">
        <f t="shared" si="16"/>
        <v>0</v>
      </c>
      <c r="O17" s="108">
        <f t="shared" si="16"/>
        <v>122710.09677397182</v>
      </c>
      <c r="P17" s="108">
        <f t="shared" si="16"/>
        <v>15596.453299971816</v>
      </c>
      <c r="Q17" s="108">
        <f t="shared" si="16"/>
        <v>318.69194698132657</v>
      </c>
      <c r="R17" s="108">
        <f t="shared" si="16"/>
        <v>118.38925856340921</v>
      </c>
      <c r="S17" s="108">
        <f t="shared" si="16"/>
        <v>0</v>
      </c>
      <c r="T17" s="108">
        <f t="shared" si="16"/>
        <v>0</v>
      </c>
      <c r="U17" s="108">
        <f t="shared" si="16"/>
        <v>0</v>
      </c>
      <c r="V17" s="108">
        <f t="shared" si="16"/>
        <v>16033.534505516553</v>
      </c>
      <c r="W17" s="108">
        <f t="shared" si="16"/>
        <v>106676.54999999999</v>
      </c>
      <c r="X17" s="109"/>
      <c r="Y17" s="89"/>
      <c r="Z17" s="90"/>
      <c r="AA17" s="145"/>
      <c r="AB17" s="146"/>
      <c r="AC17" s="146"/>
      <c r="AD17" s="146"/>
      <c r="AE17" s="142"/>
      <c r="AF17" s="142"/>
      <c r="AG17" s="142"/>
      <c r="AH17" s="146"/>
      <c r="AI17" s="147"/>
      <c r="AJ17" s="142">
        <v>11</v>
      </c>
      <c r="AK17" s="143">
        <v>0.26</v>
      </c>
      <c r="AM17" s="109"/>
      <c r="AN17" s="109"/>
    </row>
    <row r="18" spans="1:40" ht="14.25" x14ac:dyDescent="0.2">
      <c r="AJ18" s="148">
        <v>17</v>
      </c>
      <c r="AK18" s="149">
        <v>0.34</v>
      </c>
    </row>
    <row r="19" spans="1:40" s="111" customFormat="1" x14ac:dyDescent="0.2">
      <c r="A19" s="65"/>
      <c r="B19" s="110" t="s">
        <v>147</v>
      </c>
      <c r="C19" s="110"/>
      <c r="D19" s="65"/>
      <c r="W19" s="65"/>
      <c r="Z19" s="127"/>
      <c r="AA19" s="126"/>
      <c r="AB19" s="127"/>
      <c r="AC19" s="127"/>
      <c r="AD19" s="127"/>
      <c r="AE19" s="127"/>
      <c r="AF19" s="127"/>
      <c r="AG19" s="127"/>
      <c r="AH19" s="127"/>
      <c r="AI19" s="127"/>
      <c r="AJ19" s="148">
        <v>21</v>
      </c>
      <c r="AK19" s="133">
        <v>0.42</v>
      </c>
    </row>
    <row r="20" spans="1:40" s="111" customFormat="1" x14ac:dyDescent="0.2">
      <c r="A20" s="65"/>
      <c r="B20" s="110"/>
      <c r="C20" s="110"/>
      <c r="D20" s="65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9"/>
      <c r="Q20" s="69"/>
      <c r="R20" s="59"/>
      <c r="S20" s="59"/>
      <c r="T20" s="59"/>
      <c r="U20" s="59"/>
      <c r="V20" s="59"/>
      <c r="W20" s="65"/>
      <c r="X20" s="59"/>
      <c r="Z20" s="127"/>
      <c r="AA20" s="126"/>
      <c r="AB20" s="127"/>
      <c r="AC20" s="127"/>
      <c r="AD20" s="127"/>
      <c r="AE20" s="127"/>
      <c r="AF20" s="127"/>
      <c r="AG20" s="127"/>
      <c r="AH20" s="127"/>
      <c r="AI20" s="127"/>
      <c r="AJ20" s="148">
        <v>22</v>
      </c>
      <c r="AK20" s="133">
        <v>0.42</v>
      </c>
      <c r="AM20" s="59"/>
      <c r="AN20" s="59"/>
    </row>
    <row r="21" spans="1:40" ht="23.25" x14ac:dyDescent="0.25">
      <c r="A21" s="54" t="s">
        <v>148</v>
      </c>
      <c r="B21" s="55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150" t="s">
        <v>92</v>
      </c>
      <c r="N21" s="57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8"/>
      <c r="Z21" s="125"/>
    </row>
    <row r="22" spans="1:40" ht="23.25" x14ac:dyDescent="0.25">
      <c r="A22" s="61" t="s">
        <v>149</v>
      </c>
      <c r="M22" s="151">
        <v>43982</v>
      </c>
      <c r="N22" s="62"/>
      <c r="O22" s="63"/>
      <c r="AB22" s="128"/>
    </row>
    <row r="23" spans="1:40" ht="23.25" x14ac:dyDescent="0.25">
      <c r="A23" s="61" t="s">
        <v>150</v>
      </c>
      <c r="F23" s="66"/>
      <c r="M23" s="152" t="s">
        <v>5</v>
      </c>
      <c r="N23" s="67"/>
    </row>
    <row r="24" spans="1:40" ht="15.75" x14ac:dyDescent="0.15">
      <c r="I24" s="68"/>
      <c r="O24" s="69"/>
      <c r="W24" s="70"/>
      <c r="AJ24" s="129" t="s">
        <v>93</v>
      </c>
      <c r="AK24" s="129"/>
    </row>
    <row r="26" spans="1:40" ht="55.5" customHeight="1" x14ac:dyDescent="0.25">
      <c r="A26" s="71" t="s">
        <v>94</v>
      </c>
      <c r="B26" s="71" t="s">
        <v>57</v>
      </c>
      <c r="C26" s="71" t="s">
        <v>95</v>
      </c>
      <c r="D26" s="71" t="s">
        <v>96</v>
      </c>
      <c r="E26" s="71" t="s">
        <v>97</v>
      </c>
      <c r="F26" s="72" t="s">
        <v>98</v>
      </c>
      <c r="G26" s="72" t="s">
        <v>99</v>
      </c>
      <c r="H26" s="71" t="s">
        <v>100</v>
      </c>
      <c r="I26" s="72" t="s">
        <v>101</v>
      </c>
      <c r="J26" s="72" t="s">
        <v>102</v>
      </c>
      <c r="K26" s="72" t="s">
        <v>103</v>
      </c>
      <c r="L26" s="72" t="s">
        <v>104</v>
      </c>
      <c r="M26" s="72" t="s">
        <v>105</v>
      </c>
      <c r="N26" s="72" t="s">
        <v>106</v>
      </c>
      <c r="O26" s="72" t="s">
        <v>107</v>
      </c>
      <c r="P26" s="72" t="s">
        <v>108</v>
      </c>
      <c r="Q26" s="72" t="s">
        <v>109</v>
      </c>
      <c r="R26" s="72" t="s">
        <v>110</v>
      </c>
      <c r="S26" s="72" t="s">
        <v>111</v>
      </c>
      <c r="T26" s="120" t="s">
        <v>112</v>
      </c>
      <c r="U26" s="72" t="s">
        <v>113</v>
      </c>
      <c r="V26" s="72" t="s">
        <v>114</v>
      </c>
      <c r="W26" s="72" t="s">
        <v>115</v>
      </c>
      <c r="X26" s="71" t="s">
        <v>116</v>
      </c>
      <c r="AA26" s="525" t="s">
        <v>117</v>
      </c>
      <c r="AB26" s="525"/>
      <c r="AC26" s="525"/>
      <c r="AD26" s="130">
        <f>+M22</f>
        <v>43982</v>
      </c>
      <c r="AE26" s="131" t="s">
        <v>118</v>
      </c>
      <c r="AF26" s="131"/>
      <c r="AG26" s="131"/>
      <c r="AH26" s="132" t="s">
        <v>4</v>
      </c>
      <c r="AJ26" s="127">
        <v>0</v>
      </c>
      <c r="AK26" s="133">
        <v>0</v>
      </c>
      <c r="AM26" s="73"/>
    </row>
    <row r="27" spans="1:40" ht="23.25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121"/>
      <c r="U27" s="74"/>
      <c r="V27" s="74"/>
      <c r="W27" s="75"/>
      <c r="X27" s="74"/>
      <c r="Y27" s="76"/>
      <c r="Z27" s="134"/>
      <c r="AA27" s="135" t="s">
        <v>120</v>
      </c>
      <c r="AB27" s="135" t="s">
        <v>121</v>
      </c>
      <c r="AC27" s="135" t="s">
        <v>122</v>
      </c>
      <c r="AD27" s="130"/>
      <c r="AE27" s="135" t="s">
        <v>123</v>
      </c>
      <c r="AF27" s="135" t="s">
        <v>119</v>
      </c>
      <c r="AG27" s="135" t="s">
        <v>124</v>
      </c>
      <c r="AH27" s="132">
        <v>2122</v>
      </c>
      <c r="AJ27" s="127">
        <v>1</v>
      </c>
      <c r="AK27" s="133">
        <v>0</v>
      </c>
    </row>
    <row r="28" spans="1:40" s="91" customFormat="1" ht="24" customHeight="1" x14ac:dyDescent="0.25">
      <c r="A28" s="77">
        <v>1</v>
      </c>
      <c r="B28" s="78" t="str">
        <f>+B8</f>
        <v>4380924</v>
      </c>
      <c r="C28" s="78" t="str">
        <f t="shared" ref="C28:D28" si="17">+C8</f>
        <v>SC</v>
      </c>
      <c r="D28" s="153" t="str">
        <f t="shared" si="17"/>
        <v>JORGE VALLEJOS ZEBALLOS</v>
      </c>
      <c r="E28" s="81" t="s">
        <v>130</v>
      </c>
      <c r="F28" s="82">
        <v>25064</v>
      </c>
      <c r="G28" s="81" t="s">
        <v>126</v>
      </c>
      <c r="H28" s="83" t="s">
        <v>142</v>
      </c>
      <c r="I28" s="84">
        <v>37987</v>
      </c>
      <c r="J28" s="86">
        <f>+J8</f>
        <v>12601.672585634093</v>
      </c>
      <c r="K28" s="79">
        <v>30</v>
      </c>
      <c r="L28" s="85">
        <f t="shared" ref="L28:L35" si="18">(J28/30)*K28</f>
        <v>12601.672585634093</v>
      </c>
      <c r="M28" s="87">
        <f t="shared" ref="M28:M35" si="19">IF(AND(AB28&gt;=2,AB28&lt;5),($AH$7*3*0.05),IF(AND(AB28&gt;=5,AB28&lt;8),($AH$7*3*0.11),IF(AND(AB28&gt;=8,AB28&lt;11),($AH$7*3*0.18),IF(AND(AB28&gt;=11,AB28&lt;15),($AH$7*3*0.26),IF(AND(AB28&gt;=15,AB28&lt;20),($AH$7*3*0.34),IF(AND(AB28&gt;=20,AB28&lt;25),($AH$7*3*0.42),IF(AB28&gt;25,($AH$7*3*0.5),0)))))))</f>
        <v>2164.44</v>
      </c>
      <c r="N28" s="87">
        <v>0</v>
      </c>
      <c r="O28" s="87">
        <f t="shared" ref="O28:O35" si="20">SUM(L28:N28)</f>
        <v>14766.112585634093</v>
      </c>
      <c r="P28" s="87">
        <f t="shared" ref="P28:P35" si="21">IF(O28&gt;($AH$7*60),($AH$7*60)*0.1271,O28*0.1271)</f>
        <v>1876.7729096340931</v>
      </c>
      <c r="Q28" s="87">
        <f>IF(O28&gt;13000,(O28-13000)*0.01,0)</f>
        <v>17.661125856340931</v>
      </c>
      <c r="R28" s="87">
        <f t="shared" ref="R28:R35" si="22">IF(O28&gt;25000,(O28-25000)*0.05,0)</f>
        <v>0</v>
      </c>
      <c r="S28" s="87">
        <f t="shared" ref="S28:S35" si="23">IF(O28&gt;35000,(O28-35000)*0.1,0)</f>
        <v>0</v>
      </c>
      <c r="T28" s="122">
        <f>'[2]RC IVA'!S29</f>
        <v>0</v>
      </c>
      <c r="U28" s="87">
        <v>0</v>
      </c>
      <c r="V28" s="87">
        <f t="shared" ref="V28:V35" si="24">SUM(P28:U28)</f>
        <v>1894.4340354904341</v>
      </c>
      <c r="W28" s="87">
        <f t="shared" ref="W28:W35" si="25">ROUND((O28-V28),2)</f>
        <v>12871.68</v>
      </c>
      <c r="X28" s="88"/>
      <c r="Y28" s="89"/>
      <c r="Z28" s="90"/>
      <c r="AA28" s="136">
        <f t="shared" ref="AA28:AA36" si="26">$M$2-I28</f>
        <v>5964</v>
      </c>
      <c r="AB28" s="137">
        <f t="shared" ref="AB28:AB36" si="27">+DATEDIF(I28,$AD$6,"Y")</f>
        <v>16</v>
      </c>
      <c r="AC28" s="136">
        <f t="shared" ref="AC28:AC36" si="28">ROUND(AB28,0)</f>
        <v>16</v>
      </c>
      <c r="AD28" s="137">
        <f t="shared" ref="AD28:AD36" si="29">+DATEDIF(I28,$AD$6,"Y")</f>
        <v>16</v>
      </c>
      <c r="AE28" s="138" t="s">
        <v>129</v>
      </c>
      <c r="AF28" s="123">
        <v>0.05</v>
      </c>
      <c r="AG28" s="139">
        <f t="shared" ref="AG28:AG34" si="30">($AH$7*3)*AF28</f>
        <v>318.3</v>
      </c>
      <c r="AH28" s="140" t="e">
        <f t="shared" ref="AH28:AH35" si="31">VLOOKUP(AD28,$AJ$6:$AK$29,2,0)</f>
        <v>#N/A</v>
      </c>
      <c r="AI28" s="141" t="e">
        <f t="shared" ref="AI28:AI35" si="32">+$AH$7*3*AH28</f>
        <v>#N/A</v>
      </c>
      <c r="AJ28" s="142">
        <v>2</v>
      </c>
      <c r="AK28" s="143">
        <v>0.05</v>
      </c>
      <c r="AM28" s="92"/>
    </row>
    <row r="29" spans="1:40" s="94" customFormat="1" ht="24" customHeight="1" x14ac:dyDescent="0.25">
      <c r="A29" s="77">
        <v>2</v>
      </c>
      <c r="B29" s="78" t="str">
        <f t="shared" ref="B29:D35" si="33">+B9</f>
        <v>3887474</v>
      </c>
      <c r="C29" s="78" t="str">
        <f t="shared" si="33"/>
        <v>SC</v>
      </c>
      <c r="D29" s="153" t="str">
        <f t="shared" si="33"/>
        <v>JUAN PEREZ PEREZ</v>
      </c>
      <c r="E29" s="81" t="s">
        <v>130</v>
      </c>
      <c r="F29" s="82">
        <v>25583</v>
      </c>
      <c r="G29" s="81" t="s">
        <v>126</v>
      </c>
      <c r="H29" s="83" t="s">
        <v>131</v>
      </c>
      <c r="I29" s="84">
        <v>37288</v>
      </c>
      <c r="J29" s="86">
        <f t="shared" ref="J29:J35" si="34">+J9</f>
        <v>4009.6230954290295</v>
      </c>
      <c r="K29" s="79">
        <v>30</v>
      </c>
      <c r="L29" s="85">
        <f t="shared" si="18"/>
        <v>4009.623095429029</v>
      </c>
      <c r="M29" s="87">
        <f t="shared" si="19"/>
        <v>2164.44</v>
      </c>
      <c r="N29" s="87">
        <v>0</v>
      </c>
      <c r="O29" s="87">
        <f t="shared" si="20"/>
        <v>6174.0630954290291</v>
      </c>
      <c r="P29" s="87">
        <f t="shared" si="21"/>
        <v>784.72341942902949</v>
      </c>
      <c r="Q29" s="87">
        <f t="shared" ref="Q29:Q35" si="35">IF(O29&gt;13000,(O29-13000)*0.01,0)</f>
        <v>0</v>
      </c>
      <c r="R29" s="87">
        <f t="shared" si="22"/>
        <v>0</v>
      </c>
      <c r="S29" s="87">
        <f t="shared" si="23"/>
        <v>0</v>
      </c>
      <c r="T29" s="122">
        <f>'[2]RC IVA'!S30</f>
        <v>0</v>
      </c>
      <c r="U29" s="87">
        <v>0</v>
      </c>
      <c r="V29" s="87">
        <f t="shared" si="24"/>
        <v>784.72341942902949</v>
      </c>
      <c r="W29" s="87">
        <f t="shared" si="25"/>
        <v>5389.34</v>
      </c>
      <c r="X29" s="93"/>
      <c r="Y29" s="89"/>
      <c r="Z29" s="90"/>
      <c r="AA29" s="136">
        <f t="shared" si="26"/>
        <v>6663</v>
      </c>
      <c r="AB29" s="137">
        <f t="shared" si="27"/>
        <v>18</v>
      </c>
      <c r="AC29" s="136">
        <f t="shared" si="28"/>
        <v>18</v>
      </c>
      <c r="AD29" s="137">
        <f t="shared" si="29"/>
        <v>18</v>
      </c>
      <c r="AE29" s="138" t="s">
        <v>132</v>
      </c>
      <c r="AF29" s="144">
        <v>0.11</v>
      </c>
      <c r="AG29" s="139">
        <f t="shared" si="30"/>
        <v>700.26</v>
      </c>
      <c r="AH29" s="140" t="e">
        <f t="shared" si="31"/>
        <v>#N/A</v>
      </c>
      <c r="AI29" s="141" t="e">
        <f t="shared" si="32"/>
        <v>#N/A</v>
      </c>
      <c r="AJ29" s="142">
        <v>3</v>
      </c>
      <c r="AK29" s="143">
        <v>0.05</v>
      </c>
      <c r="AM29" s="92"/>
    </row>
    <row r="30" spans="1:40" s="94" customFormat="1" ht="24" customHeight="1" x14ac:dyDescent="0.25">
      <c r="A30" s="77">
        <v>3</v>
      </c>
      <c r="B30" s="78" t="str">
        <f t="shared" si="33"/>
        <v>4570616</v>
      </c>
      <c r="C30" s="78" t="str">
        <f t="shared" si="33"/>
        <v>SC</v>
      </c>
      <c r="D30" s="153" t="str">
        <f t="shared" si="33"/>
        <v>JOSE MEDRANO MENA</v>
      </c>
      <c r="E30" s="81" t="s">
        <v>130</v>
      </c>
      <c r="F30" s="82">
        <v>30173</v>
      </c>
      <c r="G30" s="81" t="s">
        <v>126</v>
      </c>
      <c r="H30" s="83" t="s">
        <v>133</v>
      </c>
      <c r="I30" s="84">
        <v>37907</v>
      </c>
      <c r="J30" s="86">
        <f t="shared" si="34"/>
        <v>8019.246190858059</v>
      </c>
      <c r="K30" s="79">
        <v>30</v>
      </c>
      <c r="L30" s="85">
        <f t="shared" si="18"/>
        <v>8019.2461908580581</v>
      </c>
      <c r="M30" s="87">
        <f t="shared" si="19"/>
        <v>2164.44</v>
      </c>
      <c r="N30" s="87">
        <v>0</v>
      </c>
      <c r="O30" s="87">
        <f t="shared" si="20"/>
        <v>10183.686190858058</v>
      </c>
      <c r="P30" s="87">
        <f t="shared" si="21"/>
        <v>1294.346514858059</v>
      </c>
      <c r="Q30" s="87">
        <f t="shared" si="35"/>
        <v>0</v>
      </c>
      <c r="R30" s="87">
        <f t="shared" si="22"/>
        <v>0</v>
      </c>
      <c r="S30" s="87">
        <f t="shared" si="23"/>
        <v>0</v>
      </c>
      <c r="T30" s="122">
        <f>'[2]RC IVA'!S31</f>
        <v>0</v>
      </c>
      <c r="U30" s="87">
        <v>0</v>
      </c>
      <c r="V30" s="87">
        <f t="shared" si="24"/>
        <v>1294.346514858059</v>
      </c>
      <c r="W30" s="87">
        <f t="shared" si="25"/>
        <v>8889.34</v>
      </c>
      <c r="X30" s="88"/>
      <c r="Y30" s="89"/>
      <c r="Z30" s="90"/>
      <c r="AA30" s="136">
        <f t="shared" si="26"/>
        <v>6044</v>
      </c>
      <c r="AB30" s="137">
        <f t="shared" si="27"/>
        <v>16</v>
      </c>
      <c r="AC30" s="136">
        <f t="shared" si="28"/>
        <v>16</v>
      </c>
      <c r="AD30" s="137">
        <f t="shared" si="29"/>
        <v>16</v>
      </c>
      <c r="AE30" s="138" t="s">
        <v>134</v>
      </c>
      <c r="AF30" s="123">
        <v>0.18</v>
      </c>
      <c r="AG30" s="139">
        <f t="shared" si="30"/>
        <v>1145.8799999999999</v>
      </c>
      <c r="AH30" s="140" t="e">
        <f t="shared" si="31"/>
        <v>#N/A</v>
      </c>
      <c r="AI30" s="141" t="e">
        <f t="shared" si="32"/>
        <v>#N/A</v>
      </c>
      <c r="AJ30" s="142">
        <v>4</v>
      </c>
      <c r="AK30" s="143">
        <v>0.05</v>
      </c>
      <c r="AM30" s="92"/>
    </row>
    <row r="31" spans="1:40" s="95" customFormat="1" ht="24" customHeight="1" x14ac:dyDescent="0.25">
      <c r="A31" s="77">
        <v>4</v>
      </c>
      <c r="B31" s="78" t="str">
        <f t="shared" si="33"/>
        <v>4466790</v>
      </c>
      <c r="C31" s="78" t="str">
        <f t="shared" si="33"/>
        <v>SC</v>
      </c>
      <c r="D31" s="153" t="str">
        <f t="shared" si="33"/>
        <v>NORKA JIMEMEZ ALBARRACIN</v>
      </c>
      <c r="E31" s="97" t="s">
        <v>130</v>
      </c>
      <c r="F31" s="98">
        <v>32698</v>
      </c>
      <c r="G31" s="97" t="s">
        <v>126</v>
      </c>
      <c r="H31" s="99" t="s">
        <v>135</v>
      </c>
      <c r="I31" s="100">
        <v>41031</v>
      </c>
      <c r="J31" s="86">
        <f t="shared" si="34"/>
        <v>13747.279184328101</v>
      </c>
      <c r="K31" s="96">
        <v>30</v>
      </c>
      <c r="L31" s="101">
        <f t="shared" si="18"/>
        <v>13747.279184328101</v>
      </c>
      <c r="M31" s="102">
        <f t="shared" si="19"/>
        <v>700.26</v>
      </c>
      <c r="N31" s="102">
        <v>0</v>
      </c>
      <c r="O31" s="102">
        <f t="shared" si="20"/>
        <v>14447.539184328101</v>
      </c>
      <c r="P31" s="102">
        <f t="shared" si="21"/>
        <v>1836.2822303281016</v>
      </c>
      <c r="Q31" s="102">
        <f t="shared" si="35"/>
        <v>14.475391843281013</v>
      </c>
      <c r="R31" s="102">
        <f t="shared" si="22"/>
        <v>0</v>
      </c>
      <c r="S31" s="102">
        <f t="shared" si="23"/>
        <v>0</v>
      </c>
      <c r="T31" s="122">
        <f>'[2]RC IVA'!S32</f>
        <v>0</v>
      </c>
      <c r="U31" s="87">
        <v>0</v>
      </c>
      <c r="V31" s="102">
        <f t="shared" si="24"/>
        <v>1850.7576221713825</v>
      </c>
      <c r="W31" s="102">
        <f t="shared" si="25"/>
        <v>12596.78</v>
      </c>
      <c r="X31" s="93"/>
      <c r="Y31" s="89"/>
      <c r="Z31" s="90"/>
      <c r="AA31" s="136">
        <f t="shared" si="26"/>
        <v>2920</v>
      </c>
      <c r="AB31" s="137">
        <f t="shared" si="27"/>
        <v>7</v>
      </c>
      <c r="AC31" s="136">
        <f t="shared" si="28"/>
        <v>7</v>
      </c>
      <c r="AD31" s="137">
        <f t="shared" si="29"/>
        <v>7</v>
      </c>
      <c r="AE31" s="138" t="s">
        <v>136</v>
      </c>
      <c r="AF31" s="123">
        <v>0.26</v>
      </c>
      <c r="AG31" s="139">
        <f t="shared" si="30"/>
        <v>1655.16</v>
      </c>
      <c r="AH31" s="140">
        <f t="shared" si="31"/>
        <v>0.11</v>
      </c>
      <c r="AI31" s="141">
        <f t="shared" si="32"/>
        <v>700.26</v>
      </c>
      <c r="AJ31" s="142">
        <v>5</v>
      </c>
      <c r="AK31" s="143">
        <v>0.11</v>
      </c>
      <c r="AM31" s="103"/>
    </row>
    <row r="32" spans="1:40" s="95" customFormat="1" ht="24" customHeight="1" x14ac:dyDescent="0.25">
      <c r="A32" s="77">
        <v>5</v>
      </c>
      <c r="B32" s="78" t="str">
        <f t="shared" si="33"/>
        <v>4466791</v>
      </c>
      <c r="C32" s="78" t="str">
        <f t="shared" si="33"/>
        <v>SC</v>
      </c>
      <c r="D32" s="153" t="str">
        <f t="shared" si="33"/>
        <v>NORMA PEREZ TERAN</v>
      </c>
      <c r="E32" s="81" t="s">
        <v>130</v>
      </c>
      <c r="F32" s="82">
        <v>28955</v>
      </c>
      <c r="G32" s="81" t="s">
        <v>128</v>
      </c>
      <c r="H32" s="83" t="s">
        <v>137</v>
      </c>
      <c r="I32" s="84">
        <v>37305</v>
      </c>
      <c r="J32" s="86">
        <f t="shared" si="34"/>
        <v>17184.098980410126</v>
      </c>
      <c r="K32" s="79">
        <v>30</v>
      </c>
      <c r="L32" s="85">
        <f t="shared" si="18"/>
        <v>17184.098980410126</v>
      </c>
      <c r="M32" s="87">
        <f t="shared" si="19"/>
        <v>2164.44</v>
      </c>
      <c r="N32" s="87">
        <v>0</v>
      </c>
      <c r="O32" s="87">
        <f t="shared" si="20"/>
        <v>19348.538980410125</v>
      </c>
      <c r="P32" s="87">
        <f t="shared" si="21"/>
        <v>2459.1993044101268</v>
      </c>
      <c r="Q32" s="87">
        <f t="shared" si="35"/>
        <v>63.485389804101253</v>
      </c>
      <c r="R32" s="87">
        <f t="shared" si="22"/>
        <v>0</v>
      </c>
      <c r="S32" s="87">
        <f t="shared" si="23"/>
        <v>0</v>
      </c>
      <c r="T32" s="122">
        <f>'[2]RC IVA'!S33</f>
        <v>0</v>
      </c>
      <c r="U32" s="87">
        <v>0</v>
      </c>
      <c r="V32" s="87">
        <f t="shared" si="24"/>
        <v>2522.6846942142279</v>
      </c>
      <c r="W32" s="87">
        <f t="shared" si="25"/>
        <v>16825.849999999999</v>
      </c>
      <c r="X32" s="93"/>
      <c r="Y32" s="104"/>
      <c r="Z32" s="90"/>
      <c r="AA32" s="136">
        <f t="shared" si="26"/>
        <v>6646</v>
      </c>
      <c r="AB32" s="137">
        <f t="shared" si="27"/>
        <v>18</v>
      </c>
      <c r="AC32" s="136">
        <f t="shared" si="28"/>
        <v>18</v>
      </c>
      <c r="AD32" s="137">
        <f t="shared" si="29"/>
        <v>18</v>
      </c>
      <c r="AE32" s="138" t="s">
        <v>138</v>
      </c>
      <c r="AF32" s="123">
        <v>0.34</v>
      </c>
      <c r="AG32" s="139">
        <f t="shared" si="30"/>
        <v>2164.44</v>
      </c>
      <c r="AH32" s="140" t="e">
        <f t="shared" si="31"/>
        <v>#N/A</v>
      </c>
      <c r="AI32" s="141" t="e">
        <f t="shared" si="32"/>
        <v>#N/A</v>
      </c>
      <c r="AJ32" s="142"/>
      <c r="AK32" s="143"/>
      <c r="AM32" s="103"/>
    </row>
    <row r="33" spans="1:40" s="91" customFormat="1" ht="24" customHeight="1" x14ac:dyDescent="0.25">
      <c r="A33" s="77">
        <v>6</v>
      </c>
      <c r="B33" s="78" t="str">
        <f t="shared" si="33"/>
        <v>4466792</v>
      </c>
      <c r="C33" s="78" t="str">
        <f t="shared" si="33"/>
        <v>CBBA</v>
      </c>
      <c r="D33" s="153" t="str">
        <f t="shared" si="33"/>
        <v>CARLOS BAENA LOPEZ</v>
      </c>
      <c r="E33" s="81" t="s">
        <v>130</v>
      </c>
      <c r="F33" s="82">
        <v>24732</v>
      </c>
      <c r="G33" s="81" t="s">
        <v>126</v>
      </c>
      <c r="H33" s="83" t="s">
        <v>140</v>
      </c>
      <c r="I33" s="84">
        <v>38169</v>
      </c>
      <c r="J33" s="86">
        <f t="shared" si="34"/>
        <v>25203.345171268185</v>
      </c>
      <c r="K33" s="79">
        <v>30</v>
      </c>
      <c r="L33" s="85">
        <f t="shared" si="18"/>
        <v>25203.345171268185</v>
      </c>
      <c r="M33" s="87">
        <f t="shared" si="19"/>
        <v>2164.44</v>
      </c>
      <c r="N33" s="87">
        <v>0</v>
      </c>
      <c r="O33" s="87">
        <f t="shared" si="20"/>
        <v>27367.785171268184</v>
      </c>
      <c r="P33" s="87">
        <f t="shared" si="21"/>
        <v>3478.4454952681858</v>
      </c>
      <c r="Q33" s="87">
        <f t="shared" si="35"/>
        <v>143.67785171268184</v>
      </c>
      <c r="R33" s="87">
        <f t="shared" si="22"/>
        <v>118.38925856340921</v>
      </c>
      <c r="S33" s="87">
        <f t="shared" si="23"/>
        <v>0</v>
      </c>
      <c r="T33" s="122">
        <f>'[2]RC IVA'!S34</f>
        <v>0</v>
      </c>
      <c r="U33" s="87">
        <v>0</v>
      </c>
      <c r="V33" s="87">
        <f t="shared" si="24"/>
        <v>3740.512605544277</v>
      </c>
      <c r="W33" s="87">
        <f t="shared" si="25"/>
        <v>23627.27</v>
      </c>
      <c r="X33" s="93"/>
      <c r="Y33" s="89"/>
      <c r="Z33" s="90"/>
      <c r="AA33" s="136">
        <f t="shared" si="26"/>
        <v>5782</v>
      </c>
      <c r="AB33" s="137">
        <f t="shared" si="27"/>
        <v>15</v>
      </c>
      <c r="AC33" s="136">
        <f t="shared" si="28"/>
        <v>15</v>
      </c>
      <c r="AD33" s="137">
        <f t="shared" si="29"/>
        <v>15</v>
      </c>
      <c r="AE33" s="138" t="s">
        <v>141</v>
      </c>
      <c r="AF33" s="124">
        <v>0.42</v>
      </c>
      <c r="AG33" s="139">
        <f t="shared" si="30"/>
        <v>2673.72</v>
      </c>
      <c r="AH33" s="140" t="e">
        <f t="shared" si="31"/>
        <v>#N/A</v>
      </c>
      <c r="AI33" s="141" t="e">
        <f t="shared" si="32"/>
        <v>#N/A</v>
      </c>
      <c r="AJ33" s="142">
        <v>6</v>
      </c>
      <c r="AK33" s="143">
        <v>0.11</v>
      </c>
      <c r="AM33" s="105"/>
    </row>
    <row r="34" spans="1:40" s="91" customFormat="1" ht="24" customHeight="1" x14ac:dyDescent="0.25">
      <c r="A34" s="77">
        <v>7</v>
      </c>
      <c r="B34" s="78" t="str">
        <f t="shared" si="33"/>
        <v>4466793</v>
      </c>
      <c r="C34" s="78" t="str">
        <f t="shared" si="33"/>
        <v>SC</v>
      </c>
      <c r="D34" s="153" t="str">
        <f t="shared" si="33"/>
        <v>CARMEN LOPEZ LOPEZ</v>
      </c>
      <c r="E34" s="81" t="s">
        <v>130</v>
      </c>
      <c r="F34" s="82">
        <v>31508</v>
      </c>
      <c r="G34" s="81" t="s">
        <v>128</v>
      </c>
      <c r="H34" s="83" t="s">
        <v>127</v>
      </c>
      <c r="I34" s="84">
        <v>42437</v>
      </c>
      <c r="J34" s="86">
        <f t="shared" si="34"/>
        <v>20620.918776492152</v>
      </c>
      <c r="K34" s="96">
        <v>30</v>
      </c>
      <c r="L34" s="85">
        <f t="shared" si="18"/>
        <v>20620.918776492152</v>
      </c>
      <c r="M34" s="87">
        <f t="shared" si="19"/>
        <v>318.3</v>
      </c>
      <c r="N34" s="87">
        <v>0</v>
      </c>
      <c r="O34" s="87">
        <f t="shared" si="20"/>
        <v>20939.218776492151</v>
      </c>
      <c r="P34" s="87">
        <f t="shared" si="21"/>
        <v>2661.3747064921522</v>
      </c>
      <c r="Q34" s="87">
        <f t="shared" si="35"/>
        <v>79.392187764921516</v>
      </c>
      <c r="R34" s="87">
        <f t="shared" si="22"/>
        <v>0</v>
      </c>
      <c r="S34" s="87">
        <f t="shared" si="23"/>
        <v>0</v>
      </c>
      <c r="T34" s="122">
        <f>'[2]RC IVA'!S35</f>
        <v>0</v>
      </c>
      <c r="U34" s="87">
        <v>0</v>
      </c>
      <c r="V34" s="87">
        <f t="shared" si="24"/>
        <v>2740.7668942570735</v>
      </c>
      <c r="W34" s="87">
        <f t="shared" si="25"/>
        <v>18198.45</v>
      </c>
      <c r="X34" s="88"/>
      <c r="Y34" s="89"/>
      <c r="Z34" s="90"/>
      <c r="AA34" s="136">
        <f t="shared" si="26"/>
        <v>1514</v>
      </c>
      <c r="AB34" s="137">
        <f t="shared" si="27"/>
        <v>4</v>
      </c>
      <c r="AC34" s="136">
        <f t="shared" si="28"/>
        <v>4</v>
      </c>
      <c r="AD34" s="137">
        <f t="shared" si="29"/>
        <v>4</v>
      </c>
      <c r="AE34" s="138" t="s">
        <v>143</v>
      </c>
      <c r="AF34" s="124">
        <v>0.5</v>
      </c>
      <c r="AG34" s="139">
        <f t="shared" si="30"/>
        <v>3183</v>
      </c>
      <c r="AH34" s="140">
        <f t="shared" si="31"/>
        <v>0.05</v>
      </c>
      <c r="AI34" s="141">
        <f t="shared" si="32"/>
        <v>318.3</v>
      </c>
      <c r="AJ34" s="142">
        <v>7</v>
      </c>
      <c r="AK34" s="143">
        <v>0.11</v>
      </c>
      <c r="AM34" s="92"/>
    </row>
    <row r="35" spans="1:40" s="91" customFormat="1" ht="24" customHeight="1" x14ac:dyDescent="0.25">
      <c r="A35" s="77">
        <v>8</v>
      </c>
      <c r="B35" s="78" t="str">
        <f t="shared" si="33"/>
        <v>4466795</v>
      </c>
      <c r="C35" s="78" t="str">
        <f t="shared" si="33"/>
        <v>OR</v>
      </c>
      <c r="D35" s="153" t="str">
        <f t="shared" si="33"/>
        <v>TERESA MARALES AYME</v>
      </c>
      <c r="E35" s="81" t="s">
        <v>130</v>
      </c>
      <c r="F35" s="82">
        <v>34405</v>
      </c>
      <c r="G35" s="81" t="s">
        <v>128</v>
      </c>
      <c r="H35" s="83" t="s">
        <v>145</v>
      </c>
      <c r="I35" s="84">
        <v>42828</v>
      </c>
      <c r="J35" s="86">
        <f t="shared" si="34"/>
        <v>9164.8527895520674</v>
      </c>
      <c r="K35" s="79">
        <v>30</v>
      </c>
      <c r="L35" s="85">
        <f t="shared" si="18"/>
        <v>9164.8527895520674</v>
      </c>
      <c r="M35" s="87">
        <f t="shared" si="19"/>
        <v>318.3</v>
      </c>
      <c r="N35" s="87">
        <v>0</v>
      </c>
      <c r="O35" s="87">
        <f t="shared" si="20"/>
        <v>9483.1527895520667</v>
      </c>
      <c r="P35" s="87">
        <f t="shared" si="21"/>
        <v>1205.3087195520675</v>
      </c>
      <c r="Q35" s="87">
        <f t="shared" si="35"/>
        <v>0</v>
      </c>
      <c r="R35" s="87">
        <f t="shared" si="22"/>
        <v>0</v>
      </c>
      <c r="S35" s="87">
        <f t="shared" si="23"/>
        <v>0</v>
      </c>
      <c r="T35" s="122">
        <f>'[2]RC IVA'!S36</f>
        <v>0</v>
      </c>
      <c r="U35" s="87">
        <v>0</v>
      </c>
      <c r="V35" s="87">
        <f t="shared" si="24"/>
        <v>1205.3087195520675</v>
      </c>
      <c r="W35" s="87">
        <f t="shared" si="25"/>
        <v>8277.84</v>
      </c>
      <c r="X35" s="93"/>
      <c r="Y35" s="89"/>
      <c r="Z35" s="90"/>
      <c r="AA35" s="136">
        <f t="shared" si="26"/>
        <v>1123</v>
      </c>
      <c r="AB35" s="137">
        <f t="shared" si="27"/>
        <v>3</v>
      </c>
      <c r="AC35" s="136">
        <f t="shared" si="28"/>
        <v>3</v>
      </c>
      <c r="AD35" s="137">
        <f t="shared" si="29"/>
        <v>3</v>
      </c>
      <c r="AE35" s="142"/>
      <c r="AF35" s="123"/>
      <c r="AG35" s="139"/>
      <c r="AH35" s="140">
        <f t="shared" si="31"/>
        <v>0.05</v>
      </c>
      <c r="AI35" s="141">
        <f t="shared" si="32"/>
        <v>318.3</v>
      </c>
      <c r="AJ35" s="142">
        <v>8</v>
      </c>
      <c r="AK35" s="143">
        <v>0.18</v>
      </c>
      <c r="AM35" s="92"/>
    </row>
    <row r="36" spans="1:40" s="91" customFormat="1" ht="24" customHeight="1" x14ac:dyDescent="0.25">
      <c r="A36" s="77"/>
      <c r="B36" s="79"/>
      <c r="C36" s="79"/>
      <c r="D36" s="80"/>
      <c r="E36" s="81"/>
      <c r="F36" s="82"/>
      <c r="G36" s="81"/>
      <c r="H36" s="80"/>
      <c r="I36" s="84"/>
      <c r="J36" s="86"/>
      <c r="K36" s="79"/>
      <c r="L36" s="85"/>
      <c r="M36" s="87"/>
      <c r="N36" s="87"/>
      <c r="O36" s="87"/>
      <c r="P36" s="87"/>
      <c r="Q36" s="87"/>
      <c r="R36" s="87"/>
      <c r="S36" s="87"/>
      <c r="T36" s="122"/>
      <c r="U36" s="87"/>
      <c r="V36" s="87"/>
      <c r="W36" s="87"/>
      <c r="X36" s="88"/>
      <c r="Y36" s="89"/>
      <c r="Z36" s="90"/>
      <c r="AA36" s="136">
        <f t="shared" si="26"/>
        <v>43951</v>
      </c>
      <c r="AB36" s="137">
        <f t="shared" si="27"/>
        <v>120</v>
      </c>
      <c r="AC36" s="136">
        <f t="shared" si="28"/>
        <v>120</v>
      </c>
      <c r="AD36" s="137">
        <f t="shared" si="29"/>
        <v>120</v>
      </c>
      <c r="AE36" s="142"/>
      <c r="AF36" s="142"/>
      <c r="AG36" s="142"/>
      <c r="AH36" s="140"/>
      <c r="AI36" s="141"/>
      <c r="AJ36" s="142">
        <v>9</v>
      </c>
      <c r="AK36" s="143">
        <v>0.18</v>
      </c>
      <c r="AM36" s="92"/>
    </row>
    <row r="37" spans="1:40" s="91" customFormat="1" ht="21" customHeight="1" x14ac:dyDescent="0.25">
      <c r="A37" s="106" t="s">
        <v>146</v>
      </c>
      <c r="B37" s="107"/>
      <c r="C37" s="107"/>
      <c r="D37" s="106"/>
      <c r="E37" s="106"/>
      <c r="F37" s="106"/>
      <c r="G37" s="106"/>
      <c r="H37" s="106"/>
      <c r="I37" s="106"/>
      <c r="J37" s="108">
        <f>SUM(J28:J36)</f>
        <v>110551.03677397181</v>
      </c>
      <c r="K37" s="106"/>
      <c r="L37" s="108">
        <f t="shared" ref="L37:W37" si="36">SUM(L28:L36)</f>
        <v>110551.03677397181</v>
      </c>
      <c r="M37" s="108">
        <f t="shared" si="36"/>
        <v>12159.06</v>
      </c>
      <c r="N37" s="108">
        <f t="shared" si="36"/>
        <v>0</v>
      </c>
      <c r="O37" s="108">
        <f t="shared" si="36"/>
        <v>122710.09677397182</v>
      </c>
      <c r="P37" s="108">
        <f t="shared" si="36"/>
        <v>15596.453299971816</v>
      </c>
      <c r="Q37" s="108">
        <f t="shared" si="36"/>
        <v>318.69194698132657</v>
      </c>
      <c r="R37" s="108">
        <f t="shared" si="36"/>
        <v>118.38925856340921</v>
      </c>
      <c r="S37" s="108">
        <f t="shared" si="36"/>
        <v>0</v>
      </c>
      <c r="T37" s="108">
        <f t="shared" si="36"/>
        <v>0</v>
      </c>
      <c r="U37" s="108">
        <f t="shared" si="36"/>
        <v>0</v>
      </c>
      <c r="V37" s="108">
        <f t="shared" si="36"/>
        <v>16033.534505516553</v>
      </c>
      <c r="W37" s="108">
        <f t="shared" si="36"/>
        <v>106676.54999999999</v>
      </c>
      <c r="X37" s="109"/>
      <c r="Y37" s="89"/>
      <c r="Z37" s="90"/>
      <c r="AA37" s="145"/>
      <c r="AB37" s="146"/>
      <c r="AC37" s="146"/>
      <c r="AD37" s="146"/>
      <c r="AE37" s="142"/>
      <c r="AF37" s="142"/>
      <c r="AG37" s="142"/>
      <c r="AH37" s="146"/>
      <c r="AI37" s="147"/>
      <c r="AJ37" s="142">
        <v>11</v>
      </c>
      <c r="AK37" s="143">
        <v>0.26</v>
      </c>
      <c r="AM37" s="109"/>
      <c r="AN37" s="109"/>
    </row>
    <row r="38" spans="1:40" x14ac:dyDescent="0.25">
      <c r="H38" s="112"/>
      <c r="I38" s="112"/>
      <c r="J38" s="114"/>
      <c r="K38" s="113"/>
      <c r="L38" s="114"/>
      <c r="M38" s="115"/>
      <c r="N38" s="115"/>
      <c r="O38" s="117"/>
      <c r="P38" s="117"/>
      <c r="Q38" s="118"/>
      <c r="R38" s="116"/>
      <c r="S38" s="116"/>
      <c r="T38" s="116"/>
      <c r="U38" s="116"/>
      <c r="V38" s="116"/>
      <c r="W38" s="116"/>
      <c r="X38" s="116"/>
      <c r="Y38" s="116"/>
    </row>
    <row r="39" spans="1:40" x14ac:dyDescent="0.25">
      <c r="J39" s="119"/>
      <c r="K39" s="119"/>
      <c r="L39" s="119"/>
      <c r="M39" s="65"/>
      <c r="Y39" s="116"/>
    </row>
    <row r="40" spans="1:40" x14ac:dyDescent="0.25">
      <c r="J40" s="119"/>
      <c r="K40" s="119"/>
      <c r="L40" s="119"/>
      <c r="M40" s="65"/>
      <c r="Y40" s="59"/>
    </row>
    <row r="41" spans="1:40" x14ac:dyDescent="0.25">
      <c r="Y41" s="59"/>
    </row>
    <row r="42" spans="1:40" ht="23.25" x14ac:dyDescent="0.25">
      <c r="A42" s="54" t="s">
        <v>148</v>
      </c>
      <c r="B42" s="55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150" t="s">
        <v>92</v>
      </c>
      <c r="N42" s="57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8"/>
      <c r="Z42" s="125"/>
    </row>
    <row r="43" spans="1:40" ht="23.25" x14ac:dyDescent="0.25">
      <c r="A43" s="61" t="s">
        <v>149</v>
      </c>
      <c r="M43" s="151">
        <v>44012</v>
      </c>
      <c r="N43" s="62"/>
      <c r="O43" s="63"/>
      <c r="AB43" s="128"/>
    </row>
    <row r="44" spans="1:40" ht="23.25" x14ac:dyDescent="0.25">
      <c r="A44" s="61" t="s">
        <v>150</v>
      </c>
      <c r="F44" s="66"/>
      <c r="M44" s="152" t="s">
        <v>5</v>
      </c>
      <c r="N44" s="67"/>
      <c r="S44" s="359" t="s">
        <v>379</v>
      </c>
    </row>
    <row r="45" spans="1:40" ht="15.75" x14ac:dyDescent="0.15">
      <c r="I45" s="68"/>
      <c r="O45" s="69"/>
      <c r="W45" s="70"/>
      <c r="AJ45" s="129" t="s">
        <v>93</v>
      </c>
      <c r="AK45" s="129"/>
    </row>
    <row r="47" spans="1:40" ht="55.5" customHeight="1" x14ac:dyDescent="0.25">
      <c r="A47" s="71" t="s">
        <v>94</v>
      </c>
      <c r="B47" s="71" t="s">
        <v>57</v>
      </c>
      <c r="C47" s="71" t="s">
        <v>95</v>
      </c>
      <c r="D47" s="71" t="s">
        <v>96</v>
      </c>
      <c r="E47" s="71" t="s">
        <v>97</v>
      </c>
      <c r="F47" s="72" t="s">
        <v>98</v>
      </c>
      <c r="G47" s="72" t="s">
        <v>99</v>
      </c>
      <c r="H47" s="71" t="s">
        <v>100</v>
      </c>
      <c r="I47" s="72" t="s">
        <v>101</v>
      </c>
      <c r="J47" s="72" t="s">
        <v>102</v>
      </c>
      <c r="K47" s="72" t="s">
        <v>103</v>
      </c>
      <c r="L47" s="72" t="s">
        <v>104</v>
      </c>
      <c r="M47" s="72" t="s">
        <v>105</v>
      </c>
      <c r="N47" s="72" t="s">
        <v>106</v>
      </c>
      <c r="O47" s="72" t="s">
        <v>107</v>
      </c>
      <c r="P47" s="72" t="s">
        <v>108</v>
      </c>
      <c r="Q47" s="72" t="s">
        <v>109</v>
      </c>
      <c r="R47" s="72" t="s">
        <v>110</v>
      </c>
      <c r="S47" s="72" t="s">
        <v>111</v>
      </c>
      <c r="T47" s="120" t="s">
        <v>112</v>
      </c>
      <c r="U47" s="72" t="s">
        <v>113</v>
      </c>
      <c r="V47" s="72" t="s">
        <v>114</v>
      </c>
      <c r="W47" s="72" t="s">
        <v>115</v>
      </c>
      <c r="X47" s="71" t="s">
        <v>116</v>
      </c>
      <c r="AA47" s="525" t="s">
        <v>117</v>
      </c>
      <c r="AB47" s="525"/>
      <c r="AC47" s="525"/>
      <c r="AD47" s="130">
        <f>+M43</f>
        <v>44012</v>
      </c>
      <c r="AE47" s="131" t="s">
        <v>118</v>
      </c>
      <c r="AF47" s="131"/>
      <c r="AG47" s="131"/>
      <c r="AH47" s="132" t="s">
        <v>4</v>
      </c>
      <c r="AJ47" s="127">
        <v>0</v>
      </c>
      <c r="AK47" s="133">
        <v>0</v>
      </c>
      <c r="AM47" s="73"/>
    </row>
    <row r="48" spans="1:40" ht="23.25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121"/>
      <c r="U48" s="74"/>
      <c r="V48" s="74"/>
      <c r="W48" s="75"/>
      <c r="X48" s="74"/>
      <c r="Y48" s="76"/>
      <c r="Z48" s="134"/>
      <c r="AA48" s="135" t="s">
        <v>120</v>
      </c>
      <c r="AB48" s="135" t="s">
        <v>121</v>
      </c>
      <c r="AC48" s="135" t="s">
        <v>122</v>
      </c>
      <c r="AD48" s="130"/>
      <c r="AE48" s="135" t="s">
        <v>123</v>
      </c>
      <c r="AF48" s="135" t="s">
        <v>119</v>
      </c>
      <c r="AG48" s="135" t="s">
        <v>124</v>
      </c>
      <c r="AH48" s="132">
        <v>2122</v>
      </c>
      <c r="AJ48" s="127">
        <v>1</v>
      </c>
      <c r="AK48" s="133">
        <v>0</v>
      </c>
    </row>
    <row r="49" spans="1:40" s="91" customFormat="1" ht="24" customHeight="1" x14ac:dyDescent="0.25">
      <c r="A49" s="77">
        <v>1</v>
      </c>
      <c r="B49" s="78" t="str">
        <f>+B28</f>
        <v>4380924</v>
      </c>
      <c r="C49" s="78" t="str">
        <f t="shared" ref="C49:D49" si="37">+C28</f>
        <v>SC</v>
      </c>
      <c r="D49" s="153" t="str">
        <f t="shared" si="37"/>
        <v>JORGE VALLEJOS ZEBALLOS</v>
      </c>
      <c r="E49" s="81" t="s">
        <v>130</v>
      </c>
      <c r="F49" s="82">
        <v>25064</v>
      </c>
      <c r="G49" s="81" t="s">
        <v>126</v>
      </c>
      <c r="H49" s="83" t="s">
        <v>142</v>
      </c>
      <c r="I49" s="84">
        <v>37987</v>
      </c>
      <c r="J49" s="86">
        <f>+J29</f>
        <v>4009.6230954290295</v>
      </c>
      <c r="K49" s="79">
        <v>30</v>
      </c>
      <c r="L49" s="85">
        <f t="shared" ref="L49:L56" si="38">(J49/30)*K49</f>
        <v>4009.623095429029</v>
      </c>
      <c r="M49" s="87">
        <f t="shared" ref="M49:M56" si="39">IF(AND(AB49&gt;=2,AB49&lt;5),($AH$7*3*0.05),IF(AND(AB49&gt;=5,AB49&lt;8),($AH$7*3*0.11),IF(AND(AB49&gt;=8,AB49&lt;11),($AH$7*3*0.18),IF(AND(AB49&gt;=11,AB49&lt;15),($AH$7*3*0.26),IF(AND(AB49&gt;=15,AB49&lt;20),($AH$7*3*0.34),IF(AND(AB49&gt;=20,AB49&lt;25),($AH$7*3*0.42),IF(AB49&gt;25,($AH$7*3*0.5),0)))))))</f>
        <v>2164.44</v>
      </c>
      <c r="N49" s="87">
        <v>0</v>
      </c>
      <c r="O49" s="87">
        <f t="shared" ref="O49:O56" si="40">SUM(L49:N49)</f>
        <v>6174.0630954290291</v>
      </c>
      <c r="P49" s="87">
        <f t="shared" ref="P49:P56" si="41">IF(O49&gt;($AH$7*60),($AH$7*60)*0.1271,O49*0.1271)</f>
        <v>784.72341942902949</v>
      </c>
      <c r="Q49" s="87">
        <f>IF(O49&gt;13000,(O49-13000)*0.01,0)</f>
        <v>0</v>
      </c>
      <c r="R49" s="87">
        <f t="shared" ref="R49:R56" si="42">IF(O49&gt;25000,(O49-25000)*0.05,0)</f>
        <v>0</v>
      </c>
      <c r="S49" s="87">
        <f t="shared" ref="S49:S56" si="43">IF(O49&gt;35000,(O49-35000)*0.1,0)</f>
        <v>0</v>
      </c>
      <c r="T49" s="167">
        <f>+'Plla rc iva'!AA10+'Plla rc iva'!AA32+'Plla rc iva'!AA57</f>
        <v>281.27999999999997</v>
      </c>
      <c r="U49" s="87">
        <v>0</v>
      </c>
      <c r="V49" s="87">
        <f t="shared" ref="V49:V56" si="44">SUM(P49:U49)</f>
        <v>1066.0034194290295</v>
      </c>
      <c r="W49" s="87">
        <f t="shared" ref="W49:W56" si="45">ROUND((O49-V49),2)</f>
        <v>5108.0600000000004</v>
      </c>
      <c r="X49" s="88"/>
      <c r="Y49" s="89"/>
      <c r="Z49" s="90"/>
      <c r="AA49" s="136">
        <f t="shared" ref="AA49:AA57" si="46">$M$2-I49</f>
        <v>5964</v>
      </c>
      <c r="AB49" s="137">
        <f t="shared" ref="AB49:AB57" si="47">+DATEDIF(I49,$AD$6,"Y")</f>
        <v>16</v>
      </c>
      <c r="AC49" s="136">
        <f t="shared" ref="AC49:AC57" si="48">ROUND(AB49,0)</f>
        <v>16</v>
      </c>
      <c r="AD49" s="137">
        <f t="shared" ref="AD49:AD57" si="49">+DATEDIF(I49,$AD$6,"Y")</f>
        <v>16</v>
      </c>
      <c r="AE49" s="138" t="s">
        <v>129</v>
      </c>
      <c r="AF49" s="123">
        <v>0.05</v>
      </c>
      <c r="AG49" s="139">
        <f t="shared" ref="AG49:AG55" si="50">($AH$7*3)*AF49</f>
        <v>318.3</v>
      </c>
      <c r="AH49" s="140" t="e">
        <f t="shared" ref="AH49:AH56" si="51">VLOOKUP(AD49,$AJ$6:$AK$29,2,0)</f>
        <v>#N/A</v>
      </c>
      <c r="AI49" s="141" t="e">
        <f t="shared" ref="AI49:AI56" si="52">+$AH$7*3*AH49</f>
        <v>#N/A</v>
      </c>
      <c r="AJ49" s="142">
        <v>2</v>
      </c>
      <c r="AK49" s="143">
        <v>0.05</v>
      </c>
      <c r="AM49" s="92"/>
    </row>
    <row r="50" spans="1:40" s="94" customFormat="1" ht="24" customHeight="1" x14ac:dyDescent="0.25">
      <c r="A50" s="77">
        <v>2</v>
      </c>
      <c r="B50" s="78" t="str">
        <f t="shared" ref="B50:D50" si="53">+B29</f>
        <v>3887474</v>
      </c>
      <c r="C50" s="78" t="str">
        <f t="shared" si="53"/>
        <v>SC</v>
      </c>
      <c r="D50" s="153" t="str">
        <f t="shared" si="53"/>
        <v>JUAN PEREZ PEREZ</v>
      </c>
      <c r="E50" s="81" t="s">
        <v>130</v>
      </c>
      <c r="F50" s="82">
        <v>25583</v>
      </c>
      <c r="G50" s="81" t="s">
        <v>126</v>
      </c>
      <c r="H50" s="83" t="s">
        <v>131</v>
      </c>
      <c r="I50" s="84">
        <v>37288</v>
      </c>
      <c r="J50" s="86">
        <f t="shared" ref="J50:J56" si="54">+J30</f>
        <v>8019.246190858059</v>
      </c>
      <c r="K50" s="79">
        <v>30</v>
      </c>
      <c r="L50" s="85">
        <f t="shared" si="38"/>
        <v>8019.2461908580581</v>
      </c>
      <c r="M50" s="87">
        <f t="shared" si="39"/>
        <v>2164.44</v>
      </c>
      <c r="N50" s="87">
        <v>0</v>
      </c>
      <c r="O50" s="87">
        <f t="shared" si="40"/>
        <v>10183.686190858058</v>
      </c>
      <c r="P50" s="87">
        <f t="shared" si="41"/>
        <v>1294.346514858059</v>
      </c>
      <c r="Q50" s="87">
        <f t="shared" ref="Q50:Q56" si="55">IF(O50&gt;13000,(O50-13000)*0.01,0)</f>
        <v>0</v>
      </c>
      <c r="R50" s="87">
        <f t="shared" si="42"/>
        <v>0</v>
      </c>
      <c r="S50" s="87">
        <f t="shared" si="43"/>
        <v>0</v>
      </c>
      <c r="T50" s="167">
        <f>+'Plla rc iva'!AA11+'Plla rc iva'!AA33+'Plla rc iva'!AA58</f>
        <v>0</v>
      </c>
      <c r="U50" s="87">
        <v>0</v>
      </c>
      <c r="V50" s="87">
        <f t="shared" si="44"/>
        <v>1294.346514858059</v>
      </c>
      <c r="W50" s="87">
        <f t="shared" si="45"/>
        <v>8889.34</v>
      </c>
      <c r="X50" s="93"/>
      <c r="Y50" s="89"/>
      <c r="Z50" s="90"/>
      <c r="AA50" s="136">
        <f t="shared" si="46"/>
        <v>6663</v>
      </c>
      <c r="AB50" s="137">
        <f t="shared" si="47"/>
        <v>18</v>
      </c>
      <c r="AC50" s="136">
        <f t="shared" si="48"/>
        <v>18</v>
      </c>
      <c r="AD50" s="137">
        <f t="shared" si="49"/>
        <v>18</v>
      </c>
      <c r="AE50" s="138" t="s">
        <v>132</v>
      </c>
      <c r="AF50" s="144">
        <v>0.11</v>
      </c>
      <c r="AG50" s="139">
        <f t="shared" si="50"/>
        <v>700.26</v>
      </c>
      <c r="AH50" s="140" t="e">
        <f t="shared" si="51"/>
        <v>#N/A</v>
      </c>
      <c r="AI50" s="141" t="e">
        <f t="shared" si="52"/>
        <v>#N/A</v>
      </c>
      <c r="AJ50" s="142">
        <v>3</v>
      </c>
      <c r="AK50" s="143">
        <v>0.05</v>
      </c>
      <c r="AM50" s="92"/>
    </row>
    <row r="51" spans="1:40" s="94" customFormat="1" ht="24" customHeight="1" x14ac:dyDescent="0.25">
      <c r="A51" s="77">
        <v>3</v>
      </c>
      <c r="B51" s="78" t="str">
        <f t="shared" ref="B51:D51" si="56">+B30</f>
        <v>4570616</v>
      </c>
      <c r="C51" s="78" t="str">
        <f t="shared" si="56"/>
        <v>SC</v>
      </c>
      <c r="D51" s="153" t="str">
        <f t="shared" si="56"/>
        <v>JOSE MEDRANO MENA</v>
      </c>
      <c r="E51" s="81" t="s">
        <v>130</v>
      </c>
      <c r="F51" s="82">
        <v>30173</v>
      </c>
      <c r="G51" s="81" t="s">
        <v>126</v>
      </c>
      <c r="H51" s="83" t="s">
        <v>133</v>
      </c>
      <c r="I51" s="84">
        <v>37907</v>
      </c>
      <c r="J51" s="86">
        <f t="shared" si="54"/>
        <v>13747.279184328101</v>
      </c>
      <c r="K51" s="79">
        <v>30</v>
      </c>
      <c r="L51" s="85">
        <f t="shared" si="38"/>
        <v>13747.279184328101</v>
      </c>
      <c r="M51" s="87">
        <f t="shared" si="39"/>
        <v>2164.44</v>
      </c>
      <c r="N51" s="87">
        <v>0</v>
      </c>
      <c r="O51" s="87">
        <f t="shared" si="40"/>
        <v>15911.719184328102</v>
      </c>
      <c r="P51" s="87">
        <f t="shared" si="41"/>
        <v>2022.3795083281016</v>
      </c>
      <c r="Q51" s="87">
        <f t="shared" si="55"/>
        <v>29.117191843281017</v>
      </c>
      <c r="R51" s="87">
        <f t="shared" si="42"/>
        <v>0</v>
      </c>
      <c r="S51" s="87">
        <f t="shared" si="43"/>
        <v>0</v>
      </c>
      <c r="T51" s="167">
        <f>+'Plla rc iva'!AA12+'Plla rc iva'!AA34+'Plla rc iva'!AA59</f>
        <v>0</v>
      </c>
      <c r="U51" s="87">
        <v>0</v>
      </c>
      <c r="V51" s="87">
        <f t="shared" si="44"/>
        <v>2051.4967001713826</v>
      </c>
      <c r="W51" s="87">
        <f t="shared" si="45"/>
        <v>13860.22</v>
      </c>
      <c r="X51" s="88"/>
      <c r="Y51" s="89"/>
      <c r="Z51" s="90"/>
      <c r="AA51" s="136">
        <f t="shared" si="46"/>
        <v>6044</v>
      </c>
      <c r="AB51" s="137">
        <f t="shared" si="47"/>
        <v>16</v>
      </c>
      <c r="AC51" s="136">
        <f t="shared" si="48"/>
        <v>16</v>
      </c>
      <c r="AD51" s="137">
        <f t="shared" si="49"/>
        <v>16</v>
      </c>
      <c r="AE51" s="138" t="s">
        <v>134</v>
      </c>
      <c r="AF51" s="123">
        <v>0.18</v>
      </c>
      <c r="AG51" s="139">
        <f t="shared" si="50"/>
        <v>1145.8799999999999</v>
      </c>
      <c r="AH51" s="140" t="e">
        <f t="shared" si="51"/>
        <v>#N/A</v>
      </c>
      <c r="AI51" s="141" t="e">
        <f t="shared" si="52"/>
        <v>#N/A</v>
      </c>
      <c r="AJ51" s="142">
        <v>4</v>
      </c>
      <c r="AK51" s="143">
        <v>0.05</v>
      </c>
      <c r="AM51" s="92"/>
    </row>
    <row r="52" spans="1:40" s="95" customFormat="1" ht="24" customHeight="1" x14ac:dyDescent="0.25">
      <c r="A52" s="77">
        <v>4</v>
      </c>
      <c r="B52" s="78" t="str">
        <f t="shared" ref="B52:D52" si="57">+B31</f>
        <v>4466790</v>
      </c>
      <c r="C52" s="78" t="str">
        <f t="shared" si="57"/>
        <v>SC</v>
      </c>
      <c r="D52" s="153" t="str">
        <f t="shared" si="57"/>
        <v>NORKA JIMEMEZ ALBARRACIN</v>
      </c>
      <c r="E52" s="97" t="s">
        <v>130</v>
      </c>
      <c r="F52" s="98">
        <v>32698</v>
      </c>
      <c r="G52" s="97" t="s">
        <v>126</v>
      </c>
      <c r="H52" s="99" t="s">
        <v>135</v>
      </c>
      <c r="I52" s="100">
        <v>41031</v>
      </c>
      <c r="J52" s="86">
        <f t="shared" si="54"/>
        <v>17184.098980410126</v>
      </c>
      <c r="K52" s="96">
        <v>30</v>
      </c>
      <c r="L52" s="101">
        <f t="shared" si="38"/>
        <v>17184.098980410126</v>
      </c>
      <c r="M52" s="102">
        <f t="shared" si="39"/>
        <v>700.26</v>
      </c>
      <c r="N52" s="102">
        <v>0</v>
      </c>
      <c r="O52" s="102">
        <f t="shared" si="40"/>
        <v>17884.358980410125</v>
      </c>
      <c r="P52" s="102">
        <f t="shared" si="41"/>
        <v>2273.1020264101267</v>
      </c>
      <c r="Q52" s="102">
        <f t="shared" si="55"/>
        <v>48.843589804101249</v>
      </c>
      <c r="R52" s="102">
        <f t="shared" si="42"/>
        <v>0</v>
      </c>
      <c r="S52" s="102">
        <f t="shared" si="43"/>
        <v>0</v>
      </c>
      <c r="T52" s="167">
        <f>+'Plla rc iva'!AA13+'Plla rc iva'!AA35+'Plla rc iva'!AA60</f>
        <v>518.83999999999992</v>
      </c>
      <c r="U52" s="87">
        <v>0</v>
      </c>
      <c r="V52" s="102">
        <f>SUM(P52:U52)</f>
        <v>2840.785616214228</v>
      </c>
      <c r="W52" s="102">
        <f t="shared" si="45"/>
        <v>15043.57</v>
      </c>
      <c r="X52" s="93"/>
      <c r="Y52" s="89"/>
      <c r="Z52" s="90"/>
      <c r="AA52" s="136">
        <f t="shared" si="46"/>
        <v>2920</v>
      </c>
      <c r="AB52" s="137">
        <f t="shared" si="47"/>
        <v>7</v>
      </c>
      <c r="AC52" s="136">
        <f t="shared" si="48"/>
        <v>7</v>
      </c>
      <c r="AD52" s="137">
        <f t="shared" si="49"/>
        <v>7</v>
      </c>
      <c r="AE52" s="138" t="s">
        <v>136</v>
      </c>
      <c r="AF52" s="123">
        <v>0.26</v>
      </c>
      <c r="AG52" s="139">
        <f t="shared" si="50"/>
        <v>1655.16</v>
      </c>
      <c r="AH52" s="140">
        <f t="shared" si="51"/>
        <v>0.11</v>
      </c>
      <c r="AI52" s="141">
        <f t="shared" si="52"/>
        <v>700.26</v>
      </c>
      <c r="AJ52" s="142">
        <v>5</v>
      </c>
      <c r="AK52" s="143">
        <v>0.11</v>
      </c>
      <c r="AM52" s="103"/>
    </row>
    <row r="53" spans="1:40" s="95" customFormat="1" ht="24" customHeight="1" x14ac:dyDescent="0.25">
      <c r="A53" s="77">
        <v>5</v>
      </c>
      <c r="B53" s="78" t="str">
        <f t="shared" ref="B53:D53" si="58">+B32</f>
        <v>4466791</v>
      </c>
      <c r="C53" s="78" t="str">
        <f t="shared" si="58"/>
        <v>SC</v>
      </c>
      <c r="D53" s="153" t="str">
        <f t="shared" si="58"/>
        <v>NORMA PEREZ TERAN</v>
      </c>
      <c r="E53" s="81" t="s">
        <v>130</v>
      </c>
      <c r="F53" s="82">
        <v>28955</v>
      </c>
      <c r="G53" s="81" t="s">
        <v>128</v>
      </c>
      <c r="H53" s="83" t="s">
        <v>137</v>
      </c>
      <c r="I53" s="84">
        <v>37305</v>
      </c>
      <c r="J53" s="86">
        <f t="shared" si="54"/>
        <v>25203.345171268185</v>
      </c>
      <c r="K53" s="79">
        <v>30</v>
      </c>
      <c r="L53" s="85">
        <f t="shared" si="38"/>
        <v>25203.345171268185</v>
      </c>
      <c r="M53" s="87">
        <f t="shared" si="39"/>
        <v>2164.44</v>
      </c>
      <c r="N53" s="87">
        <v>0</v>
      </c>
      <c r="O53" s="87">
        <f t="shared" si="40"/>
        <v>27367.785171268184</v>
      </c>
      <c r="P53" s="87">
        <f t="shared" si="41"/>
        <v>3478.4454952681858</v>
      </c>
      <c r="Q53" s="87">
        <f t="shared" si="55"/>
        <v>143.67785171268184</v>
      </c>
      <c r="R53" s="87">
        <f t="shared" si="42"/>
        <v>118.38925856340921</v>
      </c>
      <c r="S53" s="87">
        <f t="shared" si="43"/>
        <v>0</v>
      </c>
      <c r="T53" s="167">
        <f>+'Plla rc iva'!AA14+'Plla rc iva'!AA36+'Plla rc iva'!AA61</f>
        <v>1678.84</v>
      </c>
      <c r="U53" s="87">
        <v>0</v>
      </c>
      <c r="V53" s="87">
        <f t="shared" si="44"/>
        <v>5419.3526055442771</v>
      </c>
      <c r="W53" s="87">
        <f t="shared" si="45"/>
        <v>21948.43</v>
      </c>
      <c r="X53" s="93"/>
      <c r="Y53" s="104"/>
      <c r="Z53" s="90"/>
      <c r="AA53" s="136">
        <f t="shared" si="46"/>
        <v>6646</v>
      </c>
      <c r="AB53" s="137">
        <f t="shared" si="47"/>
        <v>18</v>
      </c>
      <c r="AC53" s="136">
        <f t="shared" si="48"/>
        <v>18</v>
      </c>
      <c r="AD53" s="137">
        <f t="shared" si="49"/>
        <v>18</v>
      </c>
      <c r="AE53" s="138" t="s">
        <v>138</v>
      </c>
      <c r="AF53" s="123">
        <v>0.34</v>
      </c>
      <c r="AG53" s="139">
        <f t="shared" si="50"/>
        <v>2164.44</v>
      </c>
      <c r="AH53" s="140" t="e">
        <f t="shared" si="51"/>
        <v>#N/A</v>
      </c>
      <c r="AI53" s="141" t="e">
        <f t="shared" si="52"/>
        <v>#N/A</v>
      </c>
      <c r="AJ53" s="142"/>
      <c r="AK53" s="143"/>
      <c r="AM53" s="103"/>
    </row>
    <row r="54" spans="1:40" s="91" customFormat="1" ht="24" customHeight="1" x14ac:dyDescent="0.25">
      <c r="A54" s="77">
        <v>6</v>
      </c>
      <c r="B54" s="78" t="str">
        <f t="shared" ref="B54:D54" si="59">+B33</f>
        <v>4466792</v>
      </c>
      <c r="C54" s="78" t="str">
        <f t="shared" si="59"/>
        <v>CBBA</v>
      </c>
      <c r="D54" s="153" t="str">
        <f t="shared" si="59"/>
        <v>CARLOS BAENA LOPEZ</v>
      </c>
      <c r="E54" s="81" t="s">
        <v>130</v>
      </c>
      <c r="F54" s="82">
        <v>24732</v>
      </c>
      <c r="G54" s="81" t="s">
        <v>126</v>
      </c>
      <c r="H54" s="83" t="s">
        <v>140</v>
      </c>
      <c r="I54" s="84">
        <v>38169</v>
      </c>
      <c r="J54" s="86">
        <f t="shared" si="54"/>
        <v>20620.918776492152</v>
      </c>
      <c r="K54" s="79">
        <v>30</v>
      </c>
      <c r="L54" s="85">
        <f t="shared" si="38"/>
        <v>20620.918776492152</v>
      </c>
      <c r="M54" s="87">
        <f t="shared" si="39"/>
        <v>2164.44</v>
      </c>
      <c r="N54" s="87">
        <v>0</v>
      </c>
      <c r="O54" s="87">
        <f t="shared" si="40"/>
        <v>22785.35877649215</v>
      </c>
      <c r="P54" s="87">
        <f t="shared" si="41"/>
        <v>2896.0191004921521</v>
      </c>
      <c r="Q54" s="87">
        <f t="shared" si="55"/>
        <v>97.8535877649215</v>
      </c>
      <c r="R54" s="87">
        <f t="shared" si="42"/>
        <v>0</v>
      </c>
      <c r="S54" s="87">
        <f t="shared" si="43"/>
        <v>0</v>
      </c>
      <c r="T54" s="167">
        <f>+'Plla rc iva'!AA15+'Plla rc iva'!AA37+'Plla rc iva'!AA62</f>
        <v>1666.84</v>
      </c>
      <c r="U54" s="87">
        <v>0</v>
      </c>
      <c r="V54" s="87">
        <f t="shared" si="44"/>
        <v>4660.7126882570738</v>
      </c>
      <c r="W54" s="87">
        <f t="shared" si="45"/>
        <v>18124.650000000001</v>
      </c>
      <c r="X54" s="93"/>
      <c r="Y54" s="89"/>
      <c r="Z54" s="90"/>
      <c r="AA54" s="136">
        <f t="shared" si="46"/>
        <v>5782</v>
      </c>
      <c r="AB54" s="137">
        <f t="shared" si="47"/>
        <v>15</v>
      </c>
      <c r="AC54" s="136">
        <f t="shared" si="48"/>
        <v>15</v>
      </c>
      <c r="AD54" s="137">
        <f t="shared" si="49"/>
        <v>15</v>
      </c>
      <c r="AE54" s="138" t="s">
        <v>141</v>
      </c>
      <c r="AF54" s="124">
        <v>0.42</v>
      </c>
      <c r="AG54" s="139">
        <f t="shared" si="50"/>
        <v>2673.72</v>
      </c>
      <c r="AH54" s="140" t="e">
        <f t="shared" si="51"/>
        <v>#N/A</v>
      </c>
      <c r="AI54" s="141" t="e">
        <f t="shared" si="52"/>
        <v>#N/A</v>
      </c>
      <c r="AJ54" s="142">
        <v>6</v>
      </c>
      <c r="AK54" s="143">
        <v>0.11</v>
      </c>
      <c r="AM54" s="105"/>
    </row>
    <row r="55" spans="1:40" s="91" customFormat="1" ht="24" customHeight="1" x14ac:dyDescent="0.25">
      <c r="A55" s="77">
        <v>7</v>
      </c>
      <c r="B55" s="78" t="str">
        <f t="shared" ref="B55:D55" si="60">+B34</f>
        <v>4466793</v>
      </c>
      <c r="C55" s="78" t="str">
        <f t="shared" si="60"/>
        <v>SC</v>
      </c>
      <c r="D55" s="153" t="str">
        <f t="shared" si="60"/>
        <v>CARMEN LOPEZ LOPEZ</v>
      </c>
      <c r="E55" s="81" t="s">
        <v>130</v>
      </c>
      <c r="F55" s="82">
        <v>31508</v>
      </c>
      <c r="G55" s="81" t="s">
        <v>128</v>
      </c>
      <c r="H55" s="83" t="s">
        <v>127</v>
      </c>
      <c r="I55" s="84">
        <v>42437</v>
      </c>
      <c r="J55" s="86">
        <f t="shared" si="54"/>
        <v>9164.8527895520674</v>
      </c>
      <c r="K55" s="96">
        <v>30</v>
      </c>
      <c r="L55" s="85">
        <f t="shared" si="38"/>
        <v>9164.8527895520674</v>
      </c>
      <c r="M55" s="87">
        <f t="shared" si="39"/>
        <v>318.3</v>
      </c>
      <c r="N55" s="87">
        <v>0</v>
      </c>
      <c r="O55" s="87">
        <f t="shared" si="40"/>
        <v>9483.1527895520667</v>
      </c>
      <c r="P55" s="87">
        <f t="shared" si="41"/>
        <v>1205.3087195520675</v>
      </c>
      <c r="Q55" s="87">
        <f t="shared" si="55"/>
        <v>0</v>
      </c>
      <c r="R55" s="87">
        <f t="shared" si="42"/>
        <v>0</v>
      </c>
      <c r="S55" s="87">
        <f t="shared" si="43"/>
        <v>0</v>
      </c>
      <c r="T55" s="167">
        <f>+'Plla rc iva'!AA16+'Plla rc iva'!AA38+'Plla rc iva'!AA63</f>
        <v>2608.84</v>
      </c>
      <c r="U55" s="87">
        <v>0</v>
      </c>
      <c r="V55" s="87">
        <f t="shared" si="44"/>
        <v>3814.1487195520676</v>
      </c>
      <c r="W55" s="87">
        <f t="shared" si="45"/>
        <v>5669</v>
      </c>
      <c r="X55" s="88"/>
      <c r="Y55" s="89"/>
      <c r="Z55" s="90"/>
      <c r="AA55" s="136">
        <f t="shared" si="46"/>
        <v>1514</v>
      </c>
      <c r="AB55" s="137">
        <f t="shared" si="47"/>
        <v>4</v>
      </c>
      <c r="AC55" s="136">
        <f t="shared" si="48"/>
        <v>4</v>
      </c>
      <c r="AD55" s="137">
        <f t="shared" si="49"/>
        <v>4</v>
      </c>
      <c r="AE55" s="138" t="s">
        <v>143</v>
      </c>
      <c r="AF55" s="124">
        <v>0.5</v>
      </c>
      <c r="AG55" s="139">
        <f t="shared" si="50"/>
        <v>3183</v>
      </c>
      <c r="AH55" s="140">
        <f t="shared" si="51"/>
        <v>0.05</v>
      </c>
      <c r="AI55" s="141">
        <f t="shared" si="52"/>
        <v>318.3</v>
      </c>
      <c r="AJ55" s="142">
        <v>7</v>
      </c>
      <c r="AK55" s="143">
        <v>0.11</v>
      </c>
      <c r="AM55" s="92"/>
    </row>
    <row r="56" spans="1:40" s="91" customFormat="1" ht="24" customHeight="1" x14ac:dyDescent="0.25">
      <c r="A56" s="77">
        <v>8</v>
      </c>
      <c r="B56" s="78" t="str">
        <f t="shared" ref="B56:D56" si="61">+B35</f>
        <v>4466795</v>
      </c>
      <c r="C56" s="78" t="str">
        <f t="shared" si="61"/>
        <v>OR</v>
      </c>
      <c r="D56" s="153" t="str">
        <f t="shared" si="61"/>
        <v>TERESA MARALES AYME</v>
      </c>
      <c r="E56" s="81" t="s">
        <v>130</v>
      </c>
      <c r="F56" s="82">
        <v>34405</v>
      </c>
      <c r="G56" s="81" t="s">
        <v>128</v>
      </c>
      <c r="H56" s="83" t="s">
        <v>145</v>
      </c>
      <c r="I56" s="84">
        <v>42828</v>
      </c>
      <c r="J56" s="86">
        <f t="shared" si="54"/>
        <v>0</v>
      </c>
      <c r="K56" s="79">
        <v>30</v>
      </c>
      <c r="L56" s="85">
        <f t="shared" si="38"/>
        <v>0</v>
      </c>
      <c r="M56" s="87">
        <f t="shared" si="39"/>
        <v>318.3</v>
      </c>
      <c r="N56" s="87">
        <v>0</v>
      </c>
      <c r="O56" s="87">
        <f t="shared" si="40"/>
        <v>318.3</v>
      </c>
      <c r="P56" s="87">
        <f t="shared" si="41"/>
        <v>40.455929999999995</v>
      </c>
      <c r="Q56" s="87">
        <f t="shared" si="55"/>
        <v>0</v>
      </c>
      <c r="R56" s="87">
        <f t="shared" si="42"/>
        <v>0</v>
      </c>
      <c r="S56" s="87">
        <f t="shared" si="43"/>
        <v>0</v>
      </c>
      <c r="T56" s="167">
        <f>+'Plla rc iva'!AA17+'Plla rc iva'!AA39+'Plla rc iva'!AA64</f>
        <v>0</v>
      </c>
      <c r="U56" s="87">
        <v>0</v>
      </c>
      <c r="V56" s="87">
        <f t="shared" si="44"/>
        <v>40.455929999999995</v>
      </c>
      <c r="W56" s="87">
        <f t="shared" si="45"/>
        <v>277.83999999999997</v>
      </c>
      <c r="X56" s="93"/>
      <c r="Y56" s="89"/>
      <c r="Z56" s="90"/>
      <c r="AA56" s="136">
        <f t="shared" si="46"/>
        <v>1123</v>
      </c>
      <c r="AB56" s="137">
        <f t="shared" si="47"/>
        <v>3</v>
      </c>
      <c r="AC56" s="136">
        <f t="shared" si="48"/>
        <v>3</v>
      </c>
      <c r="AD56" s="137">
        <f t="shared" si="49"/>
        <v>3</v>
      </c>
      <c r="AE56" s="142"/>
      <c r="AF56" s="123"/>
      <c r="AG56" s="139"/>
      <c r="AH56" s="140">
        <f t="shared" si="51"/>
        <v>0.05</v>
      </c>
      <c r="AI56" s="141">
        <f t="shared" si="52"/>
        <v>318.3</v>
      </c>
      <c r="AJ56" s="142">
        <v>8</v>
      </c>
      <c r="AK56" s="143">
        <v>0.18</v>
      </c>
      <c r="AM56" s="92"/>
    </row>
    <row r="57" spans="1:40" s="91" customFormat="1" ht="24" customHeight="1" x14ac:dyDescent="0.25">
      <c r="A57" s="77"/>
      <c r="B57" s="79"/>
      <c r="C57" s="79"/>
      <c r="D57" s="80"/>
      <c r="E57" s="81"/>
      <c r="F57" s="82"/>
      <c r="G57" s="81"/>
      <c r="H57" s="80"/>
      <c r="I57" s="84"/>
      <c r="J57" s="86"/>
      <c r="K57" s="79"/>
      <c r="L57" s="85"/>
      <c r="M57" s="87"/>
      <c r="N57" s="87"/>
      <c r="O57" s="87"/>
      <c r="P57" s="87"/>
      <c r="Q57" s="87"/>
      <c r="R57" s="87"/>
      <c r="S57" s="87"/>
      <c r="T57" s="122"/>
      <c r="U57" s="87"/>
      <c r="V57" s="87"/>
      <c r="W57" s="87"/>
      <c r="X57" s="88"/>
      <c r="Y57" s="89"/>
      <c r="Z57" s="90"/>
      <c r="AA57" s="136">
        <f t="shared" si="46"/>
        <v>43951</v>
      </c>
      <c r="AB57" s="137">
        <f t="shared" si="47"/>
        <v>120</v>
      </c>
      <c r="AC57" s="136">
        <f t="shared" si="48"/>
        <v>120</v>
      </c>
      <c r="AD57" s="137">
        <f t="shared" si="49"/>
        <v>120</v>
      </c>
      <c r="AE57" s="142"/>
      <c r="AF57" s="142"/>
      <c r="AG57" s="142"/>
      <c r="AH57" s="140"/>
      <c r="AI57" s="141"/>
      <c r="AJ57" s="142">
        <v>9</v>
      </c>
      <c r="AK57" s="143">
        <v>0.18</v>
      </c>
      <c r="AM57" s="92"/>
    </row>
    <row r="58" spans="1:40" s="91" customFormat="1" ht="21" customHeight="1" x14ac:dyDescent="0.25">
      <c r="A58" s="106" t="s">
        <v>146</v>
      </c>
      <c r="B58" s="107"/>
      <c r="C58" s="107"/>
      <c r="D58" s="106"/>
      <c r="E58" s="106"/>
      <c r="F58" s="106"/>
      <c r="G58" s="106"/>
      <c r="H58" s="106"/>
      <c r="I58" s="106"/>
      <c r="J58" s="108">
        <f>SUM(J49:J57)</f>
        <v>97949.364188337728</v>
      </c>
      <c r="K58" s="106"/>
      <c r="L58" s="108">
        <f t="shared" ref="L58:W58" si="62">SUM(L49:L57)</f>
        <v>97949.364188337728</v>
      </c>
      <c r="M58" s="108">
        <f t="shared" si="62"/>
        <v>12159.06</v>
      </c>
      <c r="N58" s="108">
        <f t="shared" si="62"/>
        <v>0</v>
      </c>
      <c r="O58" s="108">
        <f t="shared" si="62"/>
        <v>110108.42418833773</v>
      </c>
      <c r="P58" s="108">
        <f t="shared" si="62"/>
        <v>13994.780714337723</v>
      </c>
      <c r="Q58" s="108">
        <f t="shared" si="62"/>
        <v>319.49222112498558</v>
      </c>
      <c r="R58" s="108">
        <f t="shared" si="62"/>
        <v>118.38925856340921</v>
      </c>
      <c r="S58" s="108">
        <f t="shared" si="62"/>
        <v>0</v>
      </c>
      <c r="T58" s="169">
        <f t="shared" si="62"/>
        <v>6754.64</v>
      </c>
      <c r="U58" s="108">
        <f t="shared" si="62"/>
        <v>0</v>
      </c>
      <c r="V58" s="108">
        <f t="shared" si="62"/>
        <v>21187.302194026117</v>
      </c>
      <c r="W58" s="108">
        <f t="shared" si="62"/>
        <v>88921.11</v>
      </c>
      <c r="X58" s="109"/>
      <c r="Y58" s="89"/>
      <c r="Z58" s="90"/>
      <c r="AA58" s="145"/>
      <c r="AB58" s="146"/>
      <c r="AC58" s="146"/>
      <c r="AD58" s="146"/>
      <c r="AE58" s="142"/>
      <c r="AF58" s="142"/>
      <c r="AG58" s="142"/>
      <c r="AH58" s="146"/>
      <c r="AI58" s="147"/>
      <c r="AJ58" s="142">
        <v>11</v>
      </c>
      <c r="AK58" s="143">
        <v>0.26</v>
      </c>
      <c r="AM58" s="109"/>
      <c r="AN58" s="109"/>
    </row>
    <row r="61" spans="1:40" x14ac:dyDescent="0.25">
      <c r="T61" s="168">
        <f>+'Plla rc iva'!AA20+'Plla rc iva'!AA42+'Plla rc iva'!AA67</f>
        <v>6754.6399999999994</v>
      </c>
    </row>
    <row r="62" spans="1:40" x14ac:dyDescent="0.25">
      <c r="S62" s="59" t="s">
        <v>463</v>
      </c>
      <c r="T62" s="59">
        <v>579</v>
      </c>
    </row>
    <row r="63" spans="1:40" x14ac:dyDescent="0.25">
      <c r="S63" s="59" t="s">
        <v>464</v>
      </c>
      <c r="T63" s="168">
        <f>+'Plla rc iva'!AA42</f>
        <v>1138.8399999999999</v>
      </c>
    </row>
    <row r="64" spans="1:40" x14ac:dyDescent="0.25">
      <c r="S64" s="59" t="s">
        <v>465</v>
      </c>
      <c r="T64" s="168">
        <f>+'Plla rc iva'!AA67</f>
        <v>2955.68</v>
      </c>
    </row>
    <row r="65" spans="20:20" x14ac:dyDescent="0.25">
      <c r="T65" s="168">
        <f>SUM(T62:T64)</f>
        <v>4673.5199999999995</v>
      </c>
    </row>
  </sheetData>
  <mergeCells count="3">
    <mergeCell ref="AA26:AC26"/>
    <mergeCell ref="AA47:AC47"/>
    <mergeCell ref="AA6:AC6"/>
  </mergeCells>
  <hyperlinks>
    <hyperlink ref="S44" location="'Facilito-OV'!A304" display="boleta de sueldo -- &gt;" xr:uid="{C3160162-F93F-4512-9583-144FE2ABA136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3020-9F52-47B2-86DB-7818CB521C2B}">
  <dimension ref="B1:P63"/>
  <sheetViews>
    <sheetView showGridLines="0" showRowColHeaders="0" topLeftCell="A52" zoomScale="145" zoomScaleNormal="145" workbookViewId="0">
      <selection sqref="A1:K63"/>
    </sheetView>
  </sheetViews>
  <sheetFormatPr baseColWidth="10" defaultRowHeight="15" outlineLevelCol="1" x14ac:dyDescent="0.25"/>
  <cols>
    <col min="1" max="1" width="4.28515625" customWidth="1"/>
    <col min="2" max="2" width="5.140625" style="170" customWidth="1"/>
    <col min="3" max="3" width="77.85546875" style="210" customWidth="1"/>
    <col min="4" max="4" width="8" style="200"/>
    <col min="5" max="5" width="14" style="170" hidden="1" customWidth="1" outlineLevel="1"/>
    <col min="6" max="7" width="13" hidden="1" customWidth="1" outlineLevel="1"/>
    <col min="8" max="8" width="5.28515625" customWidth="1" collapsed="1"/>
    <col min="9" max="9" width="14" customWidth="1" outlineLevel="1"/>
    <col min="10" max="10" width="9.85546875" customWidth="1" outlineLevel="1"/>
    <col min="11" max="11" width="8.140625" customWidth="1"/>
    <col min="12" max="12" width="3.42578125" hidden="1" customWidth="1" outlineLevel="1"/>
    <col min="13" max="13" width="14.42578125" hidden="1" customWidth="1" outlineLevel="1"/>
    <col min="14" max="14" width="6.42578125" customWidth="1" collapsed="1"/>
  </cols>
  <sheetData>
    <row r="1" spans="2:14" ht="39.75" customHeight="1" thickTop="1" x14ac:dyDescent="0.25">
      <c r="B1" s="171"/>
      <c r="C1" s="201"/>
      <c r="D1" s="194"/>
      <c r="E1" s="172"/>
      <c r="K1" s="242"/>
      <c r="L1" s="242"/>
    </row>
    <row r="2" spans="2:14" ht="18" x14ac:dyDescent="0.25">
      <c r="B2" s="173" t="s">
        <v>169</v>
      </c>
      <c r="C2" s="202"/>
      <c r="D2" s="195"/>
      <c r="E2" s="174"/>
      <c r="M2" t="s">
        <v>226</v>
      </c>
    </row>
    <row r="3" spans="2:14" x14ac:dyDescent="0.25">
      <c r="B3" s="175"/>
      <c r="C3" s="422"/>
      <c r="D3" s="423"/>
      <c r="E3" s="424" t="s">
        <v>170</v>
      </c>
      <c r="M3" t="s">
        <v>225</v>
      </c>
    </row>
    <row r="4" spans="2:14" ht="15.75" thickBot="1" x14ac:dyDescent="0.3">
      <c r="B4" s="176"/>
      <c r="C4" s="202"/>
      <c r="D4" s="195"/>
      <c r="E4" s="247" t="str">
        <f>+'Plla rc iva'!AC9</f>
        <v>Sin F-110</v>
      </c>
      <c r="F4" s="247" t="str">
        <f>+'Plla rc iva'!AC31</f>
        <v>Con F-110</v>
      </c>
      <c r="I4" s="247" t="s">
        <v>258</v>
      </c>
    </row>
    <row r="5" spans="2:14" ht="16.5" thickTop="1" thickBot="1" x14ac:dyDescent="0.3">
      <c r="B5" s="178" t="s">
        <v>171</v>
      </c>
      <c r="C5" s="203"/>
      <c r="D5" s="196"/>
      <c r="E5" s="190">
        <f>WEEKDAY(E10)</f>
        <v>6</v>
      </c>
      <c r="F5" s="190">
        <f>WEEKDAY(F10)</f>
        <v>6</v>
      </c>
      <c r="G5" s="190">
        <f>WEEKDAY(G10)</f>
        <v>6</v>
      </c>
      <c r="H5" s="190"/>
      <c r="I5" s="190">
        <f>WEEKDAY(I10)</f>
        <v>6</v>
      </c>
      <c r="J5" s="249"/>
    </row>
    <row r="6" spans="2:14" ht="19.5" thickBot="1" x14ac:dyDescent="0.35">
      <c r="B6" s="215" t="s">
        <v>30</v>
      </c>
      <c r="C6" s="204" t="s">
        <v>172</v>
      </c>
      <c r="D6" s="211"/>
      <c r="E6" s="192" t="str">
        <f>IF(E4=M2,"123456797","123456789")</f>
        <v>123456789</v>
      </c>
      <c r="F6" s="192" t="str">
        <f>IF(F4=M2,"123456798","123456789")</f>
        <v>123456798</v>
      </c>
      <c r="G6" s="192">
        <v>123456791</v>
      </c>
      <c r="H6" s="192"/>
      <c r="I6" s="192">
        <v>123456789</v>
      </c>
      <c r="J6" s="250"/>
      <c r="M6" s="244" t="s">
        <v>248</v>
      </c>
      <c r="N6" s="245"/>
    </row>
    <row r="7" spans="2:14" ht="15.75" thickBot="1" x14ac:dyDescent="0.3">
      <c r="B7" s="215" t="s">
        <v>31</v>
      </c>
      <c r="C7" s="204" t="s">
        <v>173</v>
      </c>
      <c r="D7" s="211"/>
      <c r="E7" s="192">
        <v>1234567024</v>
      </c>
      <c r="F7" s="192">
        <v>1234567024</v>
      </c>
      <c r="G7" s="192">
        <v>1234567024</v>
      </c>
      <c r="H7" s="192"/>
      <c r="I7" s="192">
        <v>1234567024</v>
      </c>
      <c r="J7" s="250"/>
      <c r="M7" s="241" t="s">
        <v>253</v>
      </c>
    </row>
    <row r="8" spans="2:14" ht="15.75" thickBot="1" x14ac:dyDescent="0.3">
      <c r="B8" s="215" t="s">
        <v>32</v>
      </c>
      <c r="C8" s="204" t="s">
        <v>174</v>
      </c>
      <c r="D8" s="211"/>
      <c r="E8" s="193">
        <v>4</v>
      </c>
      <c r="F8" s="193">
        <v>5</v>
      </c>
      <c r="G8" s="193">
        <v>6</v>
      </c>
      <c r="H8" s="193"/>
      <c r="I8" s="193">
        <v>6</v>
      </c>
      <c r="J8" s="251"/>
      <c r="M8" s="241" t="s">
        <v>249</v>
      </c>
    </row>
    <row r="9" spans="2:14" ht="15.75" thickBot="1" x14ac:dyDescent="0.3">
      <c r="B9" s="215" t="s">
        <v>33</v>
      </c>
      <c r="C9" s="204" t="s">
        <v>6</v>
      </c>
      <c r="D9" s="211"/>
      <c r="E9" s="192">
        <v>2020</v>
      </c>
      <c r="F9" s="192">
        <v>2020</v>
      </c>
      <c r="G9" s="192">
        <v>2020</v>
      </c>
      <c r="H9" s="192"/>
      <c r="I9" s="192">
        <v>2020</v>
      </c>
      <c r="J9" s="250"/>
      <c r="M9" s="241" t="s">
        <v>250</v>
      </c>
    </row>
    <row r="10" spans="2:14" ht="15.75" thickBot="1" x14ac:dyDescent="0.3">
      <c r="B10" s="216" t="s">
        <v>38</v>
      </c>
      <c r="C10" s="205" t="s">
        <v>175</v>
      </c>
      <c r="D10" s="212"/>
      <c r="E10" s="191">
        <v>44029</v>
      </c>
      <c r="F10" s="191">
        <v>44029</v>
      </c>
      <c r="G10" s="191">
        <v>44029</v>
      </c>
      <c r="H10" s="191"/>
      <c r="I10" s="191">
        <v>44029</v>
      </c>
      <c r="J10" s="252"/>
      <c r="M10" s="288" t="s">
        <v>289</v>
      </c>
    </row>
    <row r="11" spans="2:14" ht="16.5" thickTop="1" thickBot="1" x14ac:dyDescent="0.3">
      <c r="B11" s="178" t="s">
        <v>176</v>
      </c>
      <c r="C11" s="203"/>
      <c r="D11" s="196"/>
      <c r="E11" s="177"/>
      <c r="F11" s="177"/>
      <c r="G11" s="177"/>
      <c r="H11" s="177"/>
      <c r="I11" s="177"/>
      <c r="J11" s="253"/>
    </row>
    <row r="12" spans="2:14" ht="19.5" thickBot="1" x14ac:dyDescent="0.35">
      <c r="B12" s="179"/>
      <c r="C12" s="206" t="s">
        <v>177</v>
      </c>
      <c r="D12" s="213">
        <v>534</v>
      </c>
      <c r="E12" s="189" t="str">
        <f>IF(E4=M2,"","X")</f>
        <v>X</v>
      </c>
      <c r="F12" s="189" t="str">
        <f>IF(F4=M2,"","X")</f>
        <v/>
      </c>
      <c r="G12" s="189" t="s">
        <v>223</v>
      </c>
      <c r="H12" s="189"/>
      <c r="I12" s="189" t="s">
        <v>223</v>
      </c>
      <c r="J12" s="254"/>
      <c r="M12" s="244" t="s">
        <v>251</v>
      </c>
      <c r="N12" s="245"/>
    </row>
    <row r="13" spans="2:14" ht="15.75" thickTop="1" x14ac:dyDescent="0.25">
      <c r="B13" s="178" t="s">
        <v>178</v>
      </c>
      <c r="C13" s="203"/>
      <c r="D13" s="196"/>
      <c r="E13" s="177"/>
      <c r="F13" s="177"/>
      <c r="G13" s="177"/>
      <c r="H13" s="177"/>
      <c r="I13" s="177"/>
      <c r="J13" s="253"/>
      <c r="M13" s="241" t="s">
        <v>288</v>
      </c>
    </row>
    <row r="14" spans="2:14" ht="15.75" thickBot="1" x14ac:dyDescent="0.3">
      <c r="B14" s="187"/>
      <c r="C14" s="207"/>
      <c r="D14" s="197"/>
      <c r="E14" s="188"/>
      <c r="F14" s="188"/>
      <c r="G14" s="188"/>
      <c r="H14" s="188"/>
      <c r="I14" s="188"/>
      <c r="J14" s="253"/>
      <c r="M14" s="241" t="s">
        <v>252</v>
      </c>
    </row>
    <row r="15" spans="2:14" ht="15.75" thickBot="1" x14ac:dyDescent="0.3">
      <c r="B15" s="215" t="s">
        <v>30</v>
      </c>
      <c r="C15" s="204" t="s">
        <v>179</v>
      </c>
      <c r="D15" s="214">
        <v>518</v>
      </c>
      <c r="E15" s="180"/>
      <c r="F15" s="180"/>
      <c r="G15" s="180"/>
      <c r="H15" s="180"/>
      <c r="I15" s="180"/>
      <c r="J15" s="255"/>
      <c r="M15" s="288"/>
    </row>
    <row r="16" spans="2:14" ht="15.75" thickBot="1" x14ac:dyDescent="0.3">
      <c r="B16" s="215" t="s">
        <v>31</v>
      </c>
      <c r="C16" s="204" t="s">
        <v>180</v>
      </c>
      <c r="D16" s="214">
        <v>537</v>
      </c>
      <c r="E16" s="514" t="str">
        <f>IF(E4=M2,"608","")</f>
        <v/>
      </c>
      <c r="F16" s="514" t="str">
        <f>IF(F4=M2,"608","")</f>
        <v>608</v>
      </c>
      <c r="G16" s="181"/>
      <c r="H16" s="181"/>
      <c r="I16" s="181"/>
      <c r="J16" s="256"/>
      <c r="M16" s="288" t="s">
        <v>292</v>
      </c>
    </row>
    <row r="17" spans="2:16" ht="15.75" thickBot="1" x14ac:dyDescent="0.3">
      <c r="B17" s="216" t="s">
        <v>32</v>
      </c>
      <c r="C17" s="205" t="s">
        <v>181</v>
      </c>
      <c r="D17" s="213">
        <v>521</v>
      </c>
      <c r="E17" s="515" t="str">
        <f>IF(E4=M2,"123456789","")</f>
        <v/>
      </c>
      <c r="F17" s="515" t="str">
        <f>IF(F4=M2,"123456790","")</f>
        <v>123456790</v>
      </c>
      <c r="G17" s="182"/>
      <c r="H17" s="182"/>
      <c r="I17" s="182"/>
      <c r="J17" s="256"/>
      <c r="M17" s="288" t="s">
        <v>293</v>
      </c>
    </row>
    <row r="18" spans="2:16" ht="15.75" thickTop="1" x14ac:dyDescent="0.25">
      <c r="B18" s="178" t="s">
        <v>182</v>
      </c>
      <c r="C18" s="203"/>
      <c r="D18" s="196"/>
      <c r="E18" s="177"/>
      <c r="F18" s="177"/>
      <c r="G18" s="177"/>
      <c r="H18" s="177"/>
      <c r="I18" s="177"/>
      <c r="J18" s="253"/>
      <c r="M18" s="243" t="s">
        <v>286</v>
      </c>
    </row>
    <row r="19" spans="2:16" ht="15.75" thickBot="1" x14ac:dyDescent="0.3">
      <c r="B19" s="187"/>
      <c r="C19" s="207"/>
      <c r="D19" s="197"/>
      <c r="E19" s="188"/>
      <c r="F19" s="188"/>
      <c r="G19" s="188"/>
      <c r="H19" s="188"/>
      <c r="I19" s="188"/>
      <c r="J19" s="253"/>
      <c r="M19" s="289" t="s">
        <v>287</v>
      </c>
    </row>
    <row r="20" spans="2:16" ht="15.75" thickBot="1" x14ac:dyDescent="0.3">
      <c r="B20" s="215" t="s">
        <v>30</v>
      </c>
      <c r="C20" s="204" t="s">
        <v>15</v>
      </c>
      <c r="D20" s="214">
        <v>13</v>
      </c>
      <c r="E20" s="192">
        <f>ROUND(HLOOKUP(D20,'Plla rc iva'!$N$22:$AB$23,2,0),0)</f>
        <v>96500</v>
      </c>
      <c r="F20" s="192">
        <f>ROUND(HLOOKUP(D20,'Plla rc iva'!$N$44:$AB$45,2,0),0)</f>
        <v>96500</v>
      </c>
      <c r="G20" s="192">
        <f>ROUND(HLOOKUP(D20,'Plla rc iva'!$N$69:$AB$70,2,0),0)</f>
        <v>96500</v>
      </c>
      <c r="H20" s="192"/>
      <c r="I20" s="192">
        <f>ROUND(HLOOKUP(D20,'Plla rc iva'!$N$93:$AB$94,2,0),0)</f>
        <v>289500</v>
      </c>
      <c r="J20" s="250">
        <f t="shared" ref="J20:J33" si="0">SUM(E20:G20)</f>
        <v>289500</v>
      </c>
      <c r="K20">
        <f>+J20-I20</f>
        <v>0</v>
      </c>
      <c r="M20" s="289" t="s">
        <v>405</v>
      </c>
      <c r="O20" s="500"/>
      <c r="P20" s="500"/>
    </row>
    <row r="21" spans="2:16" ht="15.75" thickBot="1" x14ac:dyDescent="0.3">
      <c r="B21" s="215" t="s">
        <v>31</v>
      </c>
      <c r="C21" s="204" t="s">
        <v>183</v>
      </c>
      <c r="D21" s="214">
        <v>26</v>
      </c>
      <c r="E21" s="192">
        <f>ROUND(HLOOKUP(D21,'Plla rc iva'!$N$22:$AB$23,2,0),0)</f>
        <v>28964</v>
      </c>
      <c r="F21" s="192">
        <f>ROUND(HLOOKUP(D21,'Plla rc iva'!$N$44:$AB$45,2,0),0)</f>
        <v>28964</v>
      </c>
      <c r="G21" s="192">
        <f>ROUND(HLOOKUP(D21,'Plla rc iva'!$N$69:$AB$70,2,0),0)</f>
        <v>33208</v>
      </c>
      <c r="H21" s="192"/>
      <c r="I21" s="192">
        <f>ROUND(HLOOKUP(D21,'Plla rc iva'!$N$93:$AB$94,2,0),0)</f>
        <v>91136</v>
      </c>
      <c r="J21" s="250">
        <f t="shared" si="0"/>
        <v>91136</v>
      </c>
      <c r="K21">
        <f t="shared" ref="K21:K34" si="1">+J21-I21</f>
        <v>0</v>
      </c>
      <c r="O21" s="500"/>
      <c r="P21" s="500"/>
    </row>
    <row r="22" spans="2:16" ht="15.75" thickBot="1" x14ac:dyDescent="0.3">
      <c r="B22" s="215" t="s">
        <v>32</v>
      </c>
      <c r="C22" s="204" t="s">
        <v>184</v>
      </c>
      <c r="D22" s="214">
        <v>27</v>
      </c>
      <c r="E22" s="192">
        <f>ROUND(HLOOKUP(D22,'Plla rc iva'!$N$22:$AB$23,2,0),0)</f>
        <v>67536</v>
      </c>
      <c r="F22" s="192">
        <f>ROUND(HLOOKUP(D22,'Plla rc iva'!$N$44:$AB$45,2,0),0)</f>
        <v>67536</v>
      </c>
      <c r="G22" s="192">
        <f>ROUND(HLOOKUP(D22,'Plla rc iva'!$N$69:$AB$70,2,0),0)</f>
        <v>63292</v>
      </c>
      <c r="H22" s="192"/>
      <c r="I22" s="192">
        <f>ROUND(HLOOKUP(D22,'Plla rc iva'!$N$93:$AB$94,2,0),0)</f>
        <v>198364</v>
      </c>
      <c r="J22" s="250">
        <f t="shared" si="0"/>
        <v>198364</v>
      </c>
      <c r="K22">
        <f t="shared" si="1"/>
        <v>0</v>
      </c>
      <c r="O22" s="500"/>
      <c r="P22" s="500"/>
    </row>
    <row r="23" spans="2:16" ht="15.75" thickBot="1" x14ac:dyDescent="0.3">
      <c r="B23" s="215" t="s">
        <v>33</v>
      </c>
      <c r="C23" s="204" t="s">
        <v>185</v>
      </c>
      <c r="D23" s="214">
        <v>2000</v>
      </c>
      <c r="E23" s="192">
        <f>ROUND(HLOOKUP(D23,'Plla rc iva'!$N$22:$AB$23,2,0),0)</f>
        <v>8778</v>
      </c>
      <c r="F23" s="192">
        <f>ROUND(HLOOKUP(D23,'Plla rc iva'!$N$44:$AB$45,2,0),0)</f>
        <v>8778</v>
      </c>
      <c r="G23" s="192">
        <f>ROUND(HLOOKUP(D23,'Plla rc iva'!$N$69:$AB$70,2,0),0)</f>
        <v>8226</v>
      </c>
      <c r="H23" s="192"/>
      <c r="I23" s="192">
        <f>ROUND(HLOOKUP(D23,'Plla rc iva'!$N$93:$AB$94,2,0),0)</f>
        <v>25782</v>
      </c>
      <c r="J23" s="250">
        <f t="shared" si="0"/>
        <v>25782</v>
      </c>
      <c r="K23">
        <f t="shared" si="1"/>
        <v>0</v>
      </c>
      <c r="O23" s="500"/>
      <c r="P23" s="500"/>
    </row>
    <row r="24" spans="2:16" ht="15.75" thickBot="1" x14ac:dyDescent="0.3">
      <c r="B24" s="215" t="s">
        <v>34</v>
      </c>
      <c r="C24" s="204" t="s">
        <v>186</v>
      </c>
      <c r="D24" s="214">
        <v>215</v>
      </c>
      <c r="E24" s="192">
        <f>ROUND(HLOOKUP(D24,'Plla rc iva'!$N$22:$AB$23,2,0),0)</f>
        <v>3798</v>
      </c>
      <c r="F24" s="192">
        <f>ROUND(HLOOKUP(D24,'Plla rc iva'!$N$44:$AB$45,2,0),0)</f>
        <v>3798</v>
      </c>
      <c r="G24" s="192">
        <f>ROUND(HLOOKUP(D24,'Plla rc iva'!$N$69:$AB$70,2,0),0)</f>
        <v>3605</v>
      </c>
      <c r="H24" s="192"/>
      <c r="I24" s="192">
        <f>ROUND(HLOOKUP(D24,'Plla rc iva'!$N$93:$AB$94,2,0),0)</f>
        <v>11201</v>
      </c>
      <c r="J24" s="250">
        <f t="shared" si="0"/>
        <v>11201</v>
      </c>
      <c r="K24">
        <f t="shared" si="1"/>
        <v>0</v>
      </c>
      <c r="O24" s="500"/>
      <c r="P24" s="500"/>
    </row>
    <row r="25" spans="2:16" ht="15.75" thickBot="1" x14ac:dyDescent="0.3">
      <c r="B25" s="215" t="s">
        <v>35</v>
      </c>
      <c r="C25" s="204" t="s">
        <v>187</v>
      </c>
      <c r="D25" s="214">
        <v>1215</v>
      </c>
      <c r="E25" s="192">
        <f>ROUND(HLOOKUP(D25,'Plla rc iva'!$N$22:$AB$23,2,0),0)</f>
        <v>4980</v>
      </c>
      <c r="F25" s="192">
        <f>ROUND(HLOOKUP(D25,'Plla rc iva'!$N$44:$AB$45,2,0),0)</f>
        <v>4980</v>
      </c>
      <c r="G25" s="192">
        <f>ROUND(HLOOKUP(D25,'Plla rc iva'!$N$69:$AB$70,2,0),0)</f>
        <v>4621</v>
      </c>
      <c r="H25" s="192"/>
      <c r="I25" s="192">
        <f>ROUND(HLOOKUP(D25,'Plla rc iva'!$N$93:$AB$94,2,0),0)</f>
        <v>14581</v>
      </c>
      <c r="J25" s="250">
        <f t="shared" si="0"/>
        <v>14581</v>
      </c>
      <c r="K25">
        <f t="shared" si="1"/>
        <v>0</v>
      </c>
      <c r="O25" s="500"/>
      <c r="P25" s="500"/>
    </row>
    <row r="26" spans="2:16" ht="15.75" thickBot="1" x14ac:dyDescent="0.3">
      <c r="B26" s="219" t="s">
        <v>36</v>
      </c>
      <c r="C26" s="220" t="s">
        <v>188</v>
      </c>
      <c r="D26" s="221">
        <v>202</v>
      </c>
      <c r="E26" s="223">
        <f>ROUND(HLOOKUP(D26,'Plla rc iva'!$N$22:$AB$23,2,0),0)</f>
        <v>0</v>
      </c>
      <c r="F26" s="223">
        <f>ROUND(HLOOKUP(D26,'Plla rc iva'!$N$44:$AB$45,2,0),0)</f>
        <v>3450</v>
      </c>
      <c r="G26" s="192">
        <f>ROUND(HLOOKUP(D26,'Plla rc iva'!$N$69:$AB$70,2,0),0)</f>
        <v>1700</v>
      </c>
      <c r="H26" s="192"/>
      <c r="I26" s="192">
        <f>ROUND(HLOOKUP(D26,'Plla rc iva'!$N$93:$AB$94,2,0),0)</f>
        <v>5150</v>
      </c>
      <c r="J26" s="250">
        <f t="shared" si="0"/>
        <v>5150</v>
      </c>
      <c r="K26">
        <f t="shared" si="1"/>
        <v>0</v>
      </c>
      <c r="O26" s="500"/>
      <c r="P26" s="500"/>
    </row>
    <row r="27" spans="2:16" ht="15.75" thickBot="1" x14ac:dyDescent="0.3">
      <c r="B27" s="215" t="s">
        <v>37</v>
      </c>
      <c r="C27" s="204" t="s">
        <v>189</v>
      </c>
      <c r="D27" s="214">
        <v>2001</v>
      </c>
      <c r="E27" s="192">
        <f>ROUND(HLOOKUP(D27,'Plla rc iva'!$N$22:$AB$23,2,0),0)</f>
        <v>4980</v>
      </c>
      <c r="F27" s="192">
        <f>ROUND(HLOOKUP(D27,'Plla rc iva'!$N$44:$AB$45,2,0),0)</f>
        <v>1653</v>
      </c>
      <c r="G27" s="192">
        <f>ROUND(HLOOKUP(D27,'Plla rc iva'!$N$69:$AB$70,2,0),0)</f>
        <v>3045</v>
      </c>
      <c r="H27" s="192"/>
      <c r="I27" s="192">
        <f>ROUND(HLOOKUP(D27,'Plla rc iva'!$N$93:$AB$94,2,0),0)</f>
        <v>9678</v>
      </c>
      <c r="J27" s="250">
        <f t="shared" si="0"/>
        <v>9678</v>
      </c>
      <c r="K27">
        <f t="shared" si="1"/>
        <v>0</v>
      </c>
      <c r="O27" s="500"/>
      <c r="P27" s="500"/>
    </row>
    <row r="28" spans="2:16" ht="15.75" thickBot="1" x14ac:dyDescent="0.3">
      <c r="B28" s="215" t="s">
        <v>38</v>
      </c>
      <c r="C28" s="204" t="s">
        <v>190</v>
      </c>
      <c r="D28" s="214">
        <v>634</v>
      </c>
      <c r="E28" s="192">
        <f>ROUND(HLOOKUP(D28,'Plla rc iva'!$N$22:$AB$23,2,0),0)</f>
        <v>0</v>
      </c>
      <c r="F28" s="192">
        <f>ROUND(HLOOKUP(D28,'Plla rc iva'!$N$44:$AB$45,2,0),0)</f>
        <v>124</v>
      </c>
      <c r="G28" s="192">
        <f>ROUND(HLOOKUP(D28,'Plla rc iva'!$N$69:$AB$70,2,0),0)</f>
        <v>124</v>
      </c>
      <c r="H28" s="192"/>
      <c r="I28" s="192">
        <f>ROUND(HLOOKUP(D28,'Plla rc iva'!$N$93:$AB$94,2,0),0)</f>
        <v>247</v>
      </c>
      <c r="J28" s="250">
        <f t="shared" si="0"/>
        <v>248</v>
      </c>
      <c r="K28">
        <f t="shared" si="1"/>
        <v>1</v>
      </c>
      <c r="O28" s="500"/>
      <c r="P28" s="500"/>
    </row>
    <row r="29" spans="2:16" ht="15.75" thickBot="1" x14ac:dyDescent="0.3">
      <c r="B29" s="215" t="s">
        <v>39</v>
      </c>
      <c r="C29" s="204" t="s">
        <v>191</v>
      </c>
      <c r="D29" s="214">
        <v>635</v>
      </c>
      <c r="E29" s="192">
        <f>ROUND(HLOOKUP(D29,'Plla rc iva'!$N$22:$AB$23,2,0),0)</f>
        <v>3035</v>
      </c>
      <c r="F29" s="192">
        <f>ROUND(HLOOKUP(D29,'Plla rc iva'!$N$44:$AB$45,2,0),0)</f>
        <v>718</v>
      </c>
      <c r="G29" s="192">
        <f>ROUND(HLOOKUP(D29,'Plla rc iva'!$N$69:$AB$70,2,0),0)</f>
        <v>329</v>
      </c>
      <c r="H29" s="192"/>
      <c r="I29" s="260">
        <f>ROUND(HLOOKUP(D29,'Plla rc iva'!$N$93:$AB$94,2,0),0)</f>
        <v>3035</v>
      </c>
      <c r="J29" s="261">
        <f t="shared" si="0"/>
        <v>4082</v>
      </c>
      <c r="K29">
        <f t="shared" si="1"/>
        <v>1047</v>
      </c>
      <c r="O29" s="500"/>
      <c r="P29" s="500"/>
    </row>
    <row r="30" spans="2:16" ht="16.5" thickBot="1" x14ac:dyDescent="0.3">
      <c r="B30" s="215" t="s">
        <v>40</v>
      </c>
      <c r="C30" s="204" t="s">
        <v>192</v>
      </c>
      <c r="D30" s="214">
        <v>648</v>
      </c>
      <c r="E30" s="192">
        <f>ROUND(HLOOKUP(D30,'Plla rc iva'!$N$22:$AB$23,2,0),0)</f>
        <v>3</v>
      </c>
      <c r="F30" s="192">
        <f>ROUND(HLOOKUP(D30,'Plla rc iva'!$N$44:$AB$45,2,0),0)</f>
        <v>1</v>
      </c>
      <c r="G30" s="192">
        <f>ROUND(HLOOKUP(D30,'Plla rc iva'!$N$69:$AB$70,2,0),0)</f>
        <v>0</v>
      </c>
      <c r="H30" s="192"/>
      <c r="I30" s="192">
        <f>ROUND(HLOOKUP(D30,'Plla rc iva'!$N$93:$AB$94,2,0),0)</f>
        <v>4</v>
      </c>
      <c r="J30" s="250">
        <f t="shared" si="0"/>
        <v>4</v>
      </c>
      <c r="K30">
        <f t="shared" si="1"/>
        <v>0</v>
      </c>
      <c r="M30" s="258" t="str">
        <f>+E4</f>
        <v>Sin F-110</v>
      </c>
      <c r="N30" s="259">
        <f>+E8</f>
        <v>4</v>
      </c>
      <c r="O30" s="500"/>
      <c r="P30" s="500"/>
    </row>
    <row r="31" spans="2:16" ht="16.5" thickBot="1" x14ac:dyDescent="0.3">
      <c r="B31" s="215" t="s">
        <v>193</v>
      </c>
      <c r="C31" s="204" t="s">
        <v>194</v>
      </c>
      <c r="D31" s="214">
        <v>649</v>
      </c>
      <c r="E31" s="192">
        <f>ROUND(HLOOKUP(D31,'Plla rc iva'!$N$22:$AB$23,2,0),0)</f>
        <v>3038</v>
      </c>
      <c r="F31" s="192">
        <f>ROUND(HLOOKUP(D31,'Plla rc iva'!$N$44:$AB$45,2,0),0)</f>
        <v>719</v>
      </c>
      <c r="G31" s="192">
        <f>ROUND(HLOOKUP(D31,'Plla rc iva'!$N$69:$AB$70,2,0),0)</f>
        <v>329</v>
      </c>
      <c r="H31" s="192"/>
      <c r="I31" s="260">
        <f>ROUND(HLOOKUP(D31,'Plla rc iva'!$N$93:$AB$94,2,0),0)</f>
        <v>3039</v>
      </c>
      <c r="J31" s="261">
        <f t="shared" si="0"/>
        <v>4086</v>
      </c>
      <c r="K31">
        <f t="shared" si="1"/>
        <v>1047</v>
      </c>
      <c r="M31" s="258" t="str">
        <f>+F4</f>
        <v>Con F-110</v>
      </c>
      <c r="N31" s="259">
        <f>+F8</f>
        <v>5</v>
      </c>
      <c r="O31" s="500"/>
      <c r="P31" s="500"/>
    </row>
    <row r="32" spans="2:16" ht="15.75" thickBot="1" x14ac:dyDescent="0.3">
      <c r="B32" s="215" t="s">
        <v>195</v>
      </c>
      <c r="C32" s="204" t="s">
        <v>27</v>
      </c>
      <c r="D32" s="214">
        <v>650</v>
      </c>
      <c r="E32" s="192">
        <f>ROUND(HLOOKUP(D32,'Plla rc iva'!$N$22:$AB$23,2,0),0)</f>
        <v>2320</v>
      </c>
      <c r="F32" s="192">
        <f>ROUND(HLOOKUP(D32,'Plla rc iva'!$N$44:$AB$45,2,0),0)</f>
        <v>515</v>
      </c>
      <c r="G32" s="192">
        <f>ROUND(HLOOKUP(D32,'Plla rc iva'!$N$69:$AB$70,2,0),0)</f>
        <v>89</v>
      </c>
      <c r="H32" s="192"/>
      <c r="I32" s="192">
        <f>ROUND(HLOOKUP(D32,'Plla rc iva'!$N$93:$AB$94,2,0),0)</f>
        <v>2924</v>
      </c>
      <c r="J32" s="250">
        <f t="shared" si="0"/>
        <v>2924</v>
      </c>
      <c r="K32">
        <f t="shared" si="1"/>
        <v>0</v>
      </c>
      <c r="O32" s="500"/>
      <c r="P32" s="500"/>
    </row>
    <row r="33" spans="2:16" ht="15.75" thickBot="1" x14ac:dyDescent="0.3">
      <c r="B33" s="219" t="s">
        <v>43</v>
      </c>
      <c r="C33" s="220" t="s">
        <v>196</v>
      </c>
      <c r="D33" s="221">
        <v>909</v>
      </c>
      <c r="E33" s="223">
        <f>ROUND(IF($E$4=$M$2,'Plla rc iva'!AA20,0),0)</f>
        <v>0</v>
      </c>
      <c r="F33" s="223">
        <f>ROUND(IF($F$4=$M$2,'Plla rc iva'!AA42,0),0)</f>
        <v>1139</v>
      </c>
      <c r="G33" s="193">
        <f>ROUND(HLOOKUP(D33,'Plla rc iva'!$N$69:$AB$70,2,0),0)</f>
        <v>2956</v>
      </c>
      <c r="H33" s="193"/>
      <c r="I33" s="501">
        <f>ROUND(HLOOKUP(D33,'Plla rc iva'!$N$93:$AB$94,2,0),0)</f>
        <v>6755</v>
      </c>
      <c r="J33" s="250">
        <f t="shared" si="0"/>
        <v>4095</v>
      </c>
      <c r="K33">
        <f>+J33-I33</f>
        <v>-2660</v>
      </c>
      <c r="O33" s="500"/>
      <c r="P33" s="500"/>
    </row>
    <row r="34" spans="2:16" ht="15.75" thickBot="1" x14ac:dyDescent="0.3">
      <c r="B34" s="215" t="s">
        <v>197</v>
      </c>
      <c r="C34" s="204" t="s">
        <v>198</v>
      </c>
      <c r="D34" s="214">
        <v>592</v>
      </c>
      <c r="E34" s="192">
        <f>ROUND(HLOOKUP(D34,'Plla rc iva'!$N$22:$AB$23,2,0),0)</f>
        <v>718</v>
      </c>
      <c r="F34" s="192">
        <f>ROUND(HLOOKUP(D34,'Plla rc iva'!$N$44:$AB$45,2,0),0)</f>
        <v>329</v>
      </c>
      <c r="G34" s="192">
        <f>ROUND(HLOOKUP(D34,'Plla rc iva'!$N$69:$AB$70,2,0),0)</f>
        <v>363</v>
      </c>
      <c r="H34" s="192"/>
      <c r="I34" s="362">
        <f>ROUND(HLOOKUP(D34,'Plla rc iva'!$N$93:$AB$94,2,0),0)</f>
        <v>363</v>
      </c>
      <c r="J34" s="363">
        <f>+G34</f>
        <v>363</v>
      </c>
      <c r="K34">
        <f t="shared" si="1"/>
        <v>0</v>
      </c>
      <c r="O34" s="500"/>
      <c r="P34" s="500"/>
    </row>
    <row r="35" spans="2:16" ht="15.75" thickBot="1" x14ac:dyDescent="0.3">
      <c r="B35" s="216" t="s">
        <v>45</v>
      </c>
      <c r="C35" s="205" t="s">
        <v>199</v>
      </c>
      <c r="D35" s="213">
        <v>748</v>
      </c>
      <c r="E35" s="218"/>
      <c r="F35" s="218"/>
      <c r="G35" s="218"/>
      <c r="H35" s="218"/>
      <c r="I35" s="218"/>
      <c r="J35" s="250"/>
    </row>
    <row r="36" spans="2:16" ht="15.75" thickTop="1" x14ac:dyDescent="0.25">
      <c r="B36" s="178" t="s">
        <v>200</v>
      </c>
      <c r="C36" s="203"/>
      <c r="D36" s="196"/>
      <c r="E36" s="177"/>
      <c r="F36" s="177"/>
      <c r="G36" s="177"/>
      <c r="H36" s="177"/>
      <c r="I36" s="177"/>
      <c r="J36" s="253"/>
    </row>
    <row r="37" spans="2:16" ht="15.75" thickBot="1" x14ac:dyDescent="0.3">
      <c r="B37" s="187"/>
      <c r="C37" s="207"/>
      <c r="D37" s="197"/>
      <c r="E37" s="188"/>
      <c r="F37" s="188"/>
      <c r="G37" s="188"/>
      <c r="H37" s="188"/>
      <c r="I37" s="188"/>
      <c r="J37" s="253"/>
    </row>
    <row r="38" spans="2:16" ht="21.75" thickBot="1" x14ac:dyDescent="0.3">
      <c r="B38" s="215" t="s">
        <v>30</v>
      </c>
      <c r="C38" s="204" t="s">
        <v>201</v>
      </c>
      <c r="D38" s="214">
        <v>622</v>
      </c>
      <c r="E38" s="192"/>
      <c r="F38" s="192"/>
      <c r="G38" s="192"/>
      <c r="H38" s="192"/>
      <c r="I38" s="192"/>
      <c r="J38" s="250"/>
    </row>
    <row r="39" spans="2:16" ht="21.75" thickBot="1" x14ac:dyDescent="0.3">
      <c r="B39" s="215" t="s">
        <v>31</v>
      </c>
      <c r="C39" s="204" t="s">
        <v>202</v>
      </c>
      <c r="D39" s="214">
        <v>623</v>
      </c>
      <c r="E39" s="192"/>
      <c r="F39" s="192"/>
      <c r="G39" s="192"/>
      <c r="H39" s="192"/>
      <c r="I39" s="192"/>
      <c r="J39" s="250"/>
    </row>
    <row r="40" spans="2:16" ht="21.75" thickBot="1" x14ac:dyDescent="0.3">
      <c r="B40" s="215" t="s">
        <v>32</v>
      </c>
      <c r="C40" s="204" t="s">
        <v>203</v>
      </c>
      <c r="D40" s="214">
        <v>640</v>
      </c>
      <c r="E40" s="192"/>
      <c r="F40" s="192"/>
      <c r="G40" s="192"/>
      <c r="H40" s="192"/>
      <c r="I40" s="192"/>
      <c r="J40" s="250"/>
    </row>
    <row r="41" spans="2:16" ht="21.75" thickBot="1" x14ac:dyDescent="0.3">
      <c r="B41" s="215" t="s">
        <v>33</v>
      </c>
      <c r="C41" s="204" t="s">
        <v>204</v>
      </c>
      <c r="D41" s="214">
        <v>643</v>
      </c>
      <c r="E41" s="192"/>
      <c r="F41" s="192"/>
      <c r="G41" s="192"/>
      <c r="H41" s="192"/>
      <c r="I41" s="192"/>
      <c r="J41" s="250"/>
    </row>
    <row r="42" spans="2:16" ht="15.75" thickBot="1" x14ac:dyDescent="0.3">
      <c r="B42" s="224" t="s">
        <v>34</v>
      </c>
      <c r="C42" s="225" t="s">
        <v>205</v>
      </c>
      <c r="D42" s="226">
        <v>996</v>
      </c>
      <c r="E42" s="227">
        <f>IF((E33-E38-E40)+(E35-E39)&gt;0,IF((E33-E38-E40)&gt;0,(E33-E38-E40)+((E35-E39)),(E35-E40)),0)</f>
        <v>0</v>
      </c>
      <c r="F42" s="227">
        <f>IF((F33-F38-F40)+(F35-F39)&gt;0,IF((F33-F38-F40)&gt;0,(F33-F38-F40)+((F35-F39)),(F35-F40)),0)</f>
        <v>1139</v>
      </c>
      <c r="G42" s="218">
        <f>IF((G33-G38-G40)+(G35-G39)&gt;0,IF((G33-G38-G40)&gt;0,(G33-G38-G40)+((G35-G39)),(G35-G40)),0)</f>
        <v>2956</v>
      </c>
      <c r="H42" s="218"/>
      <c r="I42" s="218">
        <f>IF((I33-I38-I40)+(I35-I39)&gt;0,IF((I33-I38-I40)&gt;0,(I33-I38-I40)+((I35-I39)),(I35-I40)),0)</f>
        <v>6755</v>
      </c>
      <c r="J42" s="250"/>
    </row>
    <row r="43" spans="2:16" ht="15.75" thickTop="1" x14ac:dyDescent="0.25">
      <c r="B43" s="178" t="s">
        <v>206</v>
      </c>
      <c r="C43" s="203"/>
      <c r="D43" s="196"/>
      <c r="E43" s="177"/>
      <c r="F43" s="177"/>
      <c r="G43" s="177"/>
      <c r="H43" s="177"/>
      <c r="I43" s="177"/>
      <c r="J43" s="253"/>
    </row>
    <row r="44" spans="2:16" ht="15.75" thickBot="1" x14ac:dyDescent="0.3">
      <c r="B44" s="183"/>
      <c r="C44" s="208"/>
      <c r="D44" s="198"/>
      <c r="E44" s="184"/>
      <c r="F44" s="184"/>
      <c r="G44" s="184"/>
      <c r="H44" s="184"/>
      <c r="I44" s="184"/>
      <c r="J44" s="257"/>
    </row>
    <row r="45" spans="2:16" ht="15.75" thickBot="1" x14ac:dyDescent="0.3">
      <c r="B45" s="215" t="s">
        <v>30</v>
      </c>
      <c r="C45" s="204" t="s">
        <v>207</v>
      </c>
      <c r="D45" s="214">
        <v>925</v>
      </c>
      <c r="E45" s="181"/>
      <c r="F45" s="181"/>
      <c r="G45" s="181"/>
      <c r="H45" s="181"/>
      <c r="I45" s="181"/>
      <c r="J45" s="256"/>
    </row>
    <row r="46" spans="2:16" ht="15.75" thickBot="1" x14ac:dyDescent="0.3">
      <c r="B46" s="215" t="s">
        <v>31</v>
      </c>
      <c r="C46" s="204" t="s">
        <v>208</v>
      </c>
      <c r="D46" s="214">
        <v>938</v>
      </c>
      <c r="E46" s="181"/>
      <c r="F46" s="181"/>
      <c r="G46" s="181"/>
      <c r="H46" s="181"/>
      <c r="I46" s="181"/>
      <c r="J46" s="256"/>
    </row>
    <row r="47" spans="2:16" ht="15.75" thickBot="1" x14ac:dyDescent="0.3">
      <c r="B47" s="215" t="s">
        <v>32</v>
      </c>
      <c r="C47" s="204" t="s">
        <v>209</v>
      </c>
      <c r="D47" s="214">
        <v>954</v>
      </c>
      <c r="E47" s="181"/>
      <c r="F47" s="181"/>
      <c r="G47" s="181"/>
      <c r="H47" s="181"/>
      <c r="I47" s="181"/>
      <c r="J47" s="256"/>
    </row>
    <row r="48" spans="2:16" ht="15.75" thickBot="1" x14ac:dyDescent="0.3">
      <c r="B48" s="224" t="s">
        <v>34</v>
      </c>
      <c r="C48" s="225" t="s">
        <v>210</v>
      </c>
      <c r="D48" s="226">
        <v>955</v>
      </c>
      <c r="E48" s="227">
        <f>IF(SUM(E42:E47)&gt;0,SUM(E42:E47),0)</f>
        <v>0</v>
      </c>
      <c r="F48" s="227">
        <f>IF(SUM(F42:F47)&gt;0,SUM(F42:F47),0)</f>
        <v>1139</v>
      </c>
      <c r="G48" s="218">
        <f>IF(SUM(G42:G47)&gt;0,SUM(G42:G47),0)</f>
        <v>2956</v>
      </c>
      <c r="H48" s="218"/>
      <c r="I48" s="218">
        <f>IF(SUM(I42:I47)&gt;0,SUM(I42:I47),0)</f>
        <v>6755</v>
      </c>
      <c r="J48" s="250"/>
    </row>
    <row r="49" spans="2:10" ht="15.75" thickTop="1" x14ac:dyDescent="0.25">
      <c r="B49" s="178" t="s">
        <v>211</v>
      </c>
      <c r="C49" s="203"/>
      <c r="D49" s="196"/>
      <c r="E49" s="177"/>
      <c r="F49" s="177"/>
      <c r="G49" s="177"/>
      <c r="H49" s="177"/>
      <c r="I49" s="177"/>
      <c r="J49" s="253"/>
    </row>
    <row r="50" spans="2:10" ht="15.75" thickBot="1" x14ac:dyDescent="0.3">
      <c r="B50" s="183"/>
      <c r="C50" s="208"/>
      <c r="D50" s="198"/>
      <c r="E50" s="184"/>
      <c r="F50" s="184"/>
      <c r="G50" s="184"/>
      <c r="H50" s="184"/>
      <c r="I50" s="184"/>
      <c r="J50" s="257"/>
    </row>
    <row r="51" spans="2:10" ht="15.75" thickBot="1" x14ac:dyDescent="0.3">
      <c r="B51" s="219" t="s">
        <v>30</v>
      </c>
      <c r="C51" s="220" t="s">
        <v>212</v>
      </c>
      <c r="D51" s="221">
        <v>746</v>
      </c>
      <c r="E51" s="222">
        <f>+E48</f>
        <v>0</v>
      </c>
      <c r="F51" s="222">
        <f t="shared" ref="F51:G51" si="2">+F48</f>
        <v>1139</v>
      </c>
      <c r="G51" s="192">
        <f t="shared" si="2"/>
        <v>2956</v>
      </c>
      <c r="H51" s="192"/>
      <c r="I51" s="192">
        <f t="shared" ref="I51" si="3">+I48</f>
        <v>6755</v>
      </c>
      <c r="J51" s="250"/>
    </row>
    <row r="52" spans="2:10" ht="21.75" thickBot="1" x14ac:dyDescent="0.3">
      <c r="B52" s="215" t="s">
        <v>31</v>
      </c>
      <c r="C52" s="204" t="s">
        <v>213</v>
      </c>
      <c r="D52" s="214">
        <v>747</v>
      </c>
      <c r="E52" s="181"/>
      <c r="F52" s="181"/>
      <c r="G52" s="181"/>
      <c r="H52" s="181"/>
      <c r="I52" s="181"/>
      <c r="J52" s="256"/>
    </row>
    <row r="53" spans="2:10" ht="15.75" thickBot="1" x14ac:dyDescent="0.3">
      <c r="B53" s="215" t="s">
        <v>32</v>
      </c>
      <c r="C53" s="204" t="s">
        <v>214</v>
      </c>
      <c r="D53" s="214">
        <v>677</v>
      </c>
      <c r="E53" s="181"/>
      <c r="F53" s="181"/>
      <c r="G53" s="181"/>
      <c r="H53" s="181"/>
      <c r="I53" s="181"/>
      <c r="J53" s="256"/>
    </row>
    <row r="54" spans="2:10" ht="15.75" thickBot="1" x14ac:dyDescent="0.3">
      <c r="B54" s="215" t="s">
        <v>33</v>
      </c>
      <c r="C54" s="204" t="s">
        <v>215</v>
      </c>
      <c r="D54" s="214">
        <v>576</v>
      </c>
      <c r="E54" s="181">
        <v>579</v>
      </c>
      <c r="F54" s="181">
        <v>1139</v>
      </c>
      <c r="G54" s="181">
        <v>2956</v>
      </c>
      <c r="H54" s="181"/>
      <c r="I54" s="181">
        <v>4674</v>
      </c>
      <c r="J54" s="256"/>
    </row>
    <row r="55" spans="2:10" ht="15.75" thickBot="1" x14ac:dyDescent="0.3">
      <c r="B55" s="215" t="s">
        <v>34</v>
      </c>
      <c r="C55" s="204" t="s">
        <v>216</v>
      </c>
      <c r="D55" s="214">
        <v>127</v>
      </c>
      <c r="E55" s="192">
        <v>8</v>
      </c>
      <c r="F55" s="192">
        <v>8</v>
      </c>
      <c r="G55" s="192">
        <v>8</v>
      </c>
      <c r="H55" s="192"/>
      <c r="I55" s="364">
        <v>8</v>
      </c>
      <c r="J55" s="250"/>
    </row>
    <row r="56" spans="2:10" ht="15.75" thickBot="1" x14ac:dyDescent="0.3">
      <c r="B56" s="224" t="s">
        <v>35</v>
      </c>
      <c r="C56" s="225" t="s">
        <v>217</v>
      </c>
      <c r="D56" s="226">
        <v>130</v>
      </c>
      <c r="E56" s="227">
        <f>IF(M30=M2,'Plla rc iva'!AF20,0)</f>
        <v>0</v>
      </c>
      <c r="F56" s="227">
        <f>IF(M31=M2,'Plla rc iva'!AF42,0)</f>
        <v>5</v>
      </c>
      <c r="G56" s="218">
        <f>+'Plla rc iva'!AF67</f>
        <v>4</v>
      </c>
      <c r="H56" s="182"/>
      <c r="I56" s="361">
        <f>+E56+F56+G56</f>
        <v>9</v>
      </c>
      <c r="J56" s="250"/>
    </row>
    <row r="57" spans="2:10" ht="15.75" thickTop="1" x14ac:dyDescent="0.25">
      <c r="B57" s="185" t="s">
        <v>218</v>
      </c>
      <c r="C57" s="209"/>
      <c r="D57" s="199"/>
      <c r="E57" s="186"/>
      <c r="F57" s="186"/>
      <c r="G57" s="186"/>
      <c r="H57" s="186"/>
      <c r="I57" s="186"/>
      <c r="J57" s="250"/>
    </row>
    <row r="58" spans="2:10" ht="15.75" thickBot="1" x14ac:dyDescent="0.3">
      <c r="B58" s="183"/>
      <c r="C58" s="208"/>
      <c r="D58" s="198"/>
      <c r="E58" s="184"/>
      <c r="F58" s="184"/>
      <c r="G58" s="184"/>
      <c r="H58" s="184"/>
      <c r="I58" s="184"/>
      <c r="J58" s="250"/>
    </row>
    <row r="59" spans="2:10" ht="15.75" thickBot="1" x14ac:dyDescent="0.3">
      <c r="B59" s="215" t="s">
        <v>30</v>
      </c>
      <c r="C59" s="204" t="s">
        <v>219</v>
      </c>
      <c r="D59" s="214">
        <v>8880</v>
      </c>
      <c r="E59" s="180"/>
      <c r="F59" s="180"/>
      <c r="G59" s="180"/>
      <c r="H59" s="180"/>
      <c r="I59" s="180"/>
      <c r="J59" s="255"/>
    </row>
    <row r="60" spans="2:10" ht="15.75" thickBot="1" x14ac:dyDescent="0.3">
      <c r="B60" s="215" t="s">
        <v>31</v>
      </c>
      <c r="C60" s="204" t="s">
        <v>220</v>
      </c>
      <c r="D60" s="214">
        <v>8882</v>
      </c>
      <c r="E60" s="180"/>
      <c r="F60" s="180"/>
      <c r="G60" s="180"/>
      <c r="H60" s="180"/>
      <c r="I60" s="180"/>
      <c r="J60" s="255"/>
    </row>
    <row r="61" spans="2:10" ht="15.75" thickBot="1" x14ac:dyDescent="0.3">
      <c r="B61" s="215" t="s">
        <v>32</v>
      </c>
      <c r="C61" s="204" t="s">
        <v>221</v>
      </c>
      <c r="D61" s="214">
        <v>8881</v>
      </c>
      <c r="E61" s="181"/>
      <c r="F61" s="181"/>
      <c r="G61" s="181"/>
      <c r="H61" s="181"/>
      <c r="I61" s="181"/>
      <c r="J61" s="256"/>
    </row>
    <row r="62" spans="2:10" ht="15.75" thickBot="1" x14ac:dyDescent="0.3">
      <c r="B62" s="216" t="s">
        <v>33</v>
      </c>
      <c r="C62" s="205" t="s">
        <v>222</v>
      </c>
      <c r="D62" s="213">
        <v>882</v>
      </c>
      <c r="E62" s="182"/>
      <c r="F62" s="182"/>
      <c r="G62" s="182"/>
      <c r="H62" s="182"/>
      <c r="I62" s="182"/>
      <c r="J62" s="256"/>
    </row>
    <row r="63" spans="2:10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0387-C197-473A-8620-E088C0F3236A}">
  <dimension ref="A1:AI62"/>
  <sheetViews>
    <sheetView showGridLines="0" showRowColHeaders="0" topLeftCell="A38" zoomScale="115" zoomScaleNormal="115" workbookViewId="0">
      <selection activeCell="I50" sqref="I50"/>
    </sheetView>
  </sheetViews>
  <sheetFormatPr baseColWidth="10" defaultRowHeight="15" x14ac:dyDescent="0.25"/>
  <cols>
    <col min="1" max="1" width="11.42578125" style="38" customWidth="1"/>
    <col min="2" max="7" width="11.42578125" style="38"/>
    <col min="8" max="8" width="11.42578125" style="38" customWidth="1"/>
    <col min="9" max="10" width="11.42578125" style="38"/>
    <col min="11" max="12" width="12.5703125" style="38" customWidth="1"/>
    <col min="13" max="13" width="15.85546875" style="38" bestFit="1" customWidth="1"/>
    <col min="14" max="32" width="50" style="38" bestFit="1" customWidth="1"/>
    <col min="33" max="33" width="20.28515625" style="38" bestFit="1" customWidth="1"/>
    <col min="34" max="34" width="20.85546875" style="38" bestFit="1" customWidth="1"/>
    <col min="35" max="16384" width="11.42578125" style="38"/>
  </cols>
  <sheetData>
    <row r="1" spans="1:35" customFormat="1" ht="19.5" x14ac:dyDescent="0.35">
      <c r="A1" s="291"/>
      <c r="B1" s="299" t="s">
        <v>303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</row>
    <row r="2" spans="1:35" customFormat="1" x14ac:dyDescent="0.2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</row>
    <row r="3" spans="1:35" customFormat="1" ht="18.75" x14ac:dyDescent="0.3">
      <c r="A3" s="291"/>
      <c r="B3" s="301" t="s">
        <v>305</v>
      </c>
      <c r="C3" s="291"/>
      <c r="D3" s="291"/>
      <c r="E3" s="291"/>
      <c r="F3" s="301" t="s">
        <v>307</v>
      </c>
      <c r="G3" s="291"/>
      <c r="H3" s="302" t="s">
        <v>308</v>
      </c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</row>
    <row r="4" spans="1:35" customFormat="1" x14ac:dyDescent="0.2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</row>
    <row r="5" spans="1:35" customFormat="1" x14ac:dyDescent="0.25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</row>
    <row r="6" spans="1:35" customFormat="1" x14ac:dyDescent="0.25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</row>
    <row r="7" spans="1:35" customFormat="1" x14ac:dyDescent="0.25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</row>
    <row r="8" spans="1:35" customFormat="1" x14ac:dyDescent="0.25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</row>
    <row r="9" spans="1:35" customFormat="1" x14ac:dyDescent="0.25">
      <c r="A9" s="291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</row>
    <row r="10" spans="1:35" customFormat="1" x14ac:dyDescent="0.25">
      <c r="A10" s="291"/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</row>
    <row r="11" spans="1:35" customFormat="1" x14ac:dyDescent="0.25">
      <c r="A11" s="291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</row>
    <row r="12" spans="1:35" customFormat="1" x14ac:dyDescent="0.25">
      <c r="A12" s="291"/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</row>
    <row r="13" spans="1:35" customFormat="1" x14ac:dyDescent="0.25">
      <c r="A13" s="291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</row>
    <row r="14" spans="1:35" customFormat="1" ht="15.75" x14ac:dyDescent="0.25">
      <c r="A14" s="291"/>
      <c r="B14" s="291"/>
      <c r="C14" s="291"/>
      <c r="D14" s="291"/>
      <c r="E14" s="291"/>
      <c r="F14" s="291"/>
      <c r="G14" s="291"/>
      <c r="H14" s="291"/>
      <c r="I14" s="291"/>
      <c r="J14" s="291"/>
      <c r="K14" s="300" t="s">
        <v>306</v>
      </c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</row>
    <row r="15" spans="1:35" customFormat="1" ht="15.75" x14ac:dyDescent="0.25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300" t="s">
        <v>319</v>
      </c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</row>
    <row r="16" spans="1:35" customFormat="1" ht="15.75" x14ac:dyDescent="0.25">
      <c r="A16" s="291"/>
      <c r="B16" s="291"/>
      <c r="C16" s="291"/>
      <c r="D16" s="291"/>
      <c r="E16" s="291"/>
      <c r="F16" s="291"/>
      <c r="G16" s="291"/>
      <c r="H16" s="291"/>
      <c r="I16" s="291"/>
      <c r="J16" s="291"/>
      <c r="K16" s="300" t="s">
        <v>320</v>
      </c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</row>
    <row r="17" spans="1:35" customFormat="1" ht="15.75" x14ac:dyDescent="0.25">
      <c r="A17" s="291"/>
      <c r="B17" s="291"/>
      <c r="C17" s="291"/>
      <c r="D17" s="291"/>
      <c r="E17" s="291"/>
      <c r="F17" s="291"/>
      <c r="G17" s="291"/>
      <c r="H17" s="291"/>
      <c r="I17" s="291"/>
      <c r="J17" s="291"/>
      <c r="K17" s="300" t="s">
        <v>304</v>
      </c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</row>
    <row r="18" spans="1:35" customFormat="1" x14ac:dyDescent="0.25">
      <c r="A18" s="291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</row>
    <row r="19" spans="1:35" customFormat="1" x14ac:dyDescent="0.25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</row>
    <row r="20" spans="1:35" customFormat="1" x14ac:dyDescent="0.25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</row>
    <row r="21" spans="1:35" customFormat="1" ht="18.75" x14ac:dyDescent="0.3">
      <c r="A21" s="291"/>
      <c r="B21" s="291"/>
      <c r="C21" s="445" t="s">
        <v>427</v>
      </c>
      <c r="D21" s="291"/>
      <c r="E21" s="291"/>
      <c r="F21" s="291"/>
      <c r="G21" s="291"/>
      <c r="H21" s="291"/>
      <c r="I21" s="368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</row>
    <row r="22" spans="1:35" customFormat="1" ht="18.75" x14ac:dyDescent="0.3">
      <c r="A22" s="291"/>
      <c r="B22" s="291"/>
      <c r="C22" s="445" t="s">
        <v>428</v>
      </c>
      <c r="D22" s="291"/>
      <c r="E22" s="291"/>
      <c r="F22" s="291"/>
      <c r="G22" s="291"/>
      <c r="H22" s="291"/>
      <c r="I22" s="368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</row>
    <row r="23" spans="1:35" customFormat="1" x14ac:dyDescent="0.25">
      <c r="A23" s="291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</row>
    <row r="24" spans="1:35" customFormat="1" x14ac:dyDescent="0.25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</row>
    <row r="25" spans="1:35" customFormat="1" x14ac:dyDescent="0.25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</row>
    <row r="26" spans="1:35" customFormat="1" x14ac:dyDescent="0.25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</row>
    <row r="27" spans="1:35" customFormat="1" x14ac:dyDescent="0.25">
      <c r="A27" s="291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</row>
    <row r="28" spans="1:35" customFormat="1" x14ac:dyDescent="0.25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</row>
    <row r="29" spans="1:35" customFormat="1" x14ac:dyDescent="0.25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</row>
    <row r="30" spans="1:35" customFormat="1" x14ac:dyDescent="0.25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</row>
    <row r="31" spans="1:35" customFormat="1" x14ac:dyDescent="0.25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</row>
    <row r="32" spans="1:35" customFormat="1" x14ac:dyDescent="0.25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</row>
    <row r="33" spans="1:35" customFormat="1" x14ac:dyDescent="0.25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</row>
    <row r="34" spans="1:35" customFormat="1" x14ac:dyDescent="0.25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</row>
    <row r="35" spans="1:35" customFormat="1" x14ac:dyDescent="0.25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</row>
    <row r="36" spans="1:35" customFormat="1" x14ac:dyDescent="0.2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</row>
    <row r="42" spans="1:35" x14ac:dyDescent="0.25">
      <c r="J42"/>
      <c r="K42"/>
      <c r="L42"/>
      <c r="M42"/>
    </row>
    <row r="43" spans="1:35" x14ac:dyDescent="0.25">
      <c r="J43"/>
      <c r="K43"/>
      <c r="L43"/>
      <c r="M43"/>
    </row>
    <row r="44" spans="1:35" s="462" customFormat="1" x14ac:dyDescent="0.25">
      <c r="B44" s="470" t="s">
        <v>175</v>
      </c>
      <c r="C44" s="471" t="s">
        <v>462</v>
      </c>
      <c r="D44" s="469" t="s">
        <v>461</v>
      </c>
      <c r="E44" s="471" t="s">
        <v>447</v>
      </c>
      <c r="F44" s="471" t="s">
        <v>448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5" s="462" customFormat="1" x14ac:dyDescent="0.25">
      <c r="B45" s="463">
        <v>43941</v>
      </c>
      <c r="C45" s="464" t="s">
        <v>445</v>
      </c>
      <c r="E45" s="462">
        <v>800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5" s="462" customFormat="1" x14ac:dyDescent="0.25">
      <c r="B46" s="463"/>
      <c r="C46" s="467" t="s">
        <v>446</v>
      </c>
      <c r="F46" s="462">
        <f>+E45</f>
        <v>800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5" s="462" customFormat="1" x14ac:dyDescent="0.25">
      <c r="B47" s="463"/>
      <c r="C47" s="465" t="s">
        <v>451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5" s="462" customFormat="1" x14ac:dyDescent="0.25">
      <c r="K48"/>
      <c r="L48"/>
      <c r="M48"/>
    </row>
    <row r="49" spans="2:13" s="462" customFormat="1" x14ac:dyDescent="0.25">
      <c r="B49" s="463">
        <v>44012</v>
      </c>
      <c r="C49" s="462" t="s">
        <v>444</v>
      </c>
      <c r="E49" s="462" t="s">
        <v>447</v>
      </c>
      <c r="F49" s="462" t="s">
        <v>448</v>
      </c>
      <c r="K49"/>
      <c r="L49"/>
      <c r="M49"/>
    </row>
    <row r="50" spans="2:13" s="462" customFormat="1" x14ac:dyDescent="0.25">
      <c r="B50" s="463"/>
      <c r="C50" s="464" t="s">
        <v>449</v>
      </c>
      <c r="E50" s="466">
        <v>250000</v>
      </c>
      <c r="F50" s="466"/>
      <c r="I50" s="468" t="s">
        <v>314</v>
      </c>
      <c r="K50"/>
      <c r="L50"/>
      <c r="M50"/>
    </row>
    <row r="51" spans="2:13" s="462" customFormat="1" x14ac:dyDescent="0.25">
      <c r="B51" s="463"/>
      <c r="C51" s="467" t="s">
        <v>446</v>
      </c>
      <c r="E51" s="466">
        <v>700</v>
      </c>
      <c r="F51" s="466"/>
      <c r="K51"/>
      <c r="L51"/>
      <c r="M51"/>
    </row>
    <row r="52" spans="2:13" s="462" customFormat="1" x14ac:dyDescent="0.25">
      <c r="B52" s="463"/>
      <c r="C52" s="464" t="s">
        <v>453</v>
      </c>
      <c r="E52" s="466"/>
      <c r="F52" s="466">
        <f>+E50*(100-12.71)/100</f>
        <v>218224.99999999997</v>
      </c>
      <c r="H52" s="465" t="s">
        <v>455</v>
      </c>
      <c r="K52"/>
      <c r="L52"/>
      <c r="M52"/>
    </row>
    <row r="53" spans="2:13" s="462" customFormat="1" x14ac:dyDescent="0.25">
      <c r="B53" s="463"/>
      <c r="C53" s="464" t="s">
        <v>457</v>
      </c>
      <c r="E53" s="466"/>
      <c r="F53" s="466">
        <f>+E50-F52</f>
        <v>31775.000000000029</v>
      </c>
      <c r="H53" s="465" t="s">
        <v>456</v>
      </c>
      <c r="K53"/>
      <c r="L53"/>
      <c r="M53"/>
    </row>
    <row r="54" spans="2:13" s="462" customFormat="1" x14ac:dyDescent="0.25">
      <c r="B54" s="463"/>
      <c r="C54" s="467" t="s">
        <v>450</v>
      </c>
      <c r="E54" s="466"/>
      <c r="F54" s="466">
        <f>+E51</f>
        <v>700</v>
      </c>
      <c r="K54"/>
      <c r="L54"/>
      <c r="M54"/>
    </row>
    <row r="55" spans="2:13" s="462" customFormat="1" x14ac:dyDescent="0.25">
      <c r="B55" s="463"/>
      <c r="C55" s="465" t="s">
        <v>458</v>
      </c>
      <c r="K55"/>
      <c r="L55"/>
      <c r="M55"/>
    </row>
    <row r="56" spans="2:13" s="462" customFormat="1" x14ac:dyDescent="0.25">
      <c r="K56"/>
      <c r="L56"/>
      <c r="M56"/>
    </row>
    <row r="57" spans="2:13" s="462" customFormat="1" x14ac:dyDescent="0.25">
      <c r="B57" s="463">
        <v>44029</v>
      </c>
      <c r="C57" s="462" t="s">
        <v>444</v>
      </c>
      <c r="E57" s="462" t="s">
        <v>447</v>
      </c>
      <c r="F57" s="462" t="s">
        <v>448</v>
      </c>
      <c r="K57"/>
      <c r="L57"/>
      <c r="M57"/>
    </row>
    <row r="58" spans="2:13" s="462" customFormat="1" x14ac:dyDescent="0.25">
      <c r="B58" s="463"/>
      <c r="C58" s="467" t="s">
        <v>450</v>
      </c>
      <c r="E58" s="466">
        <f>+E51</f>
        <v>700</v>
      </c>
      <c r="K58"/>
      <c r="L58"/>
      <c r="M58"/>
    </row>
    <row r="59" spans="2:13" s="462" customFormat="1" x14ac:dyDescent="0.25">
      <c r="B59" s="463"/>
      <c r="C59" s="467" t="s">
        <v>446</v>
      </c>
      <c r="E59" s="466">
        <v>100</v>
      </c>
      <c r="K59"/>
      <c r="L59"/>
      <c r="M59"/>
    </row>
    <row r="60" spans="2:13" s="462" customFormat="1" x14ac:dyDescent="0.25">
      <c r="B60" s="463"/>
      <c r="C60" s="464" t="s">
        <v>445</v>
      </c>
      <c r="F60" s="462">
        <f>+E45</f>
        <v>800</v>
      </c>
      <c r="K60"/>
      <c r="L60"/>
      <c r="M60"/>
    </row>
    <row r="61" spans="2:13" s="462" customFormat="1" x14ac:dyDescent="0.25">
      <c r="B61" s="463"/>
      <c r="C61" s="465" t="s">
        <v>454</v>
      </c>
      <c r="K61"/>
      <c r="L61"/>
      <c r="M61"/>
    </row>
    <row r="62" spans="2:13" s="462" customFormat="1" x14ac:dyDescent="0.25"/>
  </sheetData>
  <hyperlinks>
    <hyperlink ref="I50" location="Recomendación!J14" display="  --&gt; Volver" xr:uid="{B4108DA4-1661-44C4-B04A-044C89EDF0F9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</vt:lpstr>
      <vt:lpstr>Normativa</vt:lpstr>
      <vt:lpstr>TIME</vt:lpstr>
      <vt:lpstr>Facilito-OV</vt:lpstr>
      <vt:lpstr>AC</vt:lpstr>
      <vt:lpstr>Plla rc iva</vt:lpstr>
      <vt:lpstr>Plla SYS</vt:lpstr>
      <vt:lpstr>F-608v3</vt:lpstr>
      <vt:lpstr>RES</vt:lpstr>
      <vt:lpstr>Recomendación</vt:lpstr>
      <vt:lpstr>Multas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2020-04-18T17:01:03Z</dcterms:created>
  <dcterms:modified xsi:type="dcterms:W3CDTF">2020-05-14T02:05:47Z</dcterms:modified>
</cp:coreProperties>
</file>